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NAS\UV_10_VI\"/>
    </mc:Choice>
  </mc:AlternateContent>
  <bookViews>
    <workbookView xWindow="0" yWindow="0" windowWidth="28800" windowHeight="11205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PROJEKATA'!$A$2:$I$2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PROJEKATA'!$A$2:$I$2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F3" i="25"/>
  <c r="D3" i="25"/>
  <c r="B3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F3" i="17" l="1"/>
  <c r="D3" i="17"/>
  <c r="W108" i="14" l="1"/>
  <c r="V108" i="14"/>
  <c r="U108" i="14"/>
  <c r="T108" i="14"/>
  <c r="R108" i="14"/>
  <c r="Q108" i="14"/>
  <c r="P108" i="14"/>
  <c r="O108" i="14"/>
  <c r="N108" i="14"/>
  <c r="M108" i="14"/>
  <c r="J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J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J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J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J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J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J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J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J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J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J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J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J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J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J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J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J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J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J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J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J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J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J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J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J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J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J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J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J68" i="14"/>
  <c r="F68" i="14"/>
  <c r="W67" i="14"/>
  <c r="V67" i="14"/>
  <c r="U67" i="14"/>
  <c r="T67" i="14"/>
  <c r="R67" i="14"/>
  <c r="Q67" i="14"/>
  <c r="P67" i="14"/>
  <c r="O67" i="14"/>
  <c r="N67" i="14"/>
  <c r="M67" i="14"/>
  <c r="J67" i="14"/>
  <c r="F67" i="14"/>
  <c r="W66" i="14"/>
  <c r="V66" i="14"/>
  <c r="U66" i="14"/>
  <c r="T66" i="14"/>
  <c r="R66" i="14"/>
  <c r="Q66" i="14"/>
  <c r="P66" i="14"/>
  <c r="O66" i="14"/>
  <c r="N66" i="14"/>
  <c r="M66" i="14"/>
  <c r="J66" i="14"/>
  <c r="F66" i="14"/>
  <c r="W65" i="14"/>
  <c r="V65" i="14"/>
  <c r="U65" i="14"/>
  <c r="T65" i="14"/>
  <c r="R65" i="14"/>
  <c r="Q65" i="14"/>
  <c r="P65" i="14"/>
  <c r="O65" i="14"/>
  <c r="N65" i="14"/>
  <c r="M65" i="14"/>
  <c r="J65" i="14"/>
  <c r="F65" i="14"/>
  <c r="W64" i="14"/>
  <c r="V64" i="14"/>
  <c r="U64" i="14"/>
  <c r="T64" i="14"/>
  <c r="R64" i="14"/>
  <c r="Q64" i="14"/>
  <c r="P64" i="14"/>
  <c r="O64" i="14"/>
  <c r="N64" i="14"/>
  <c r="M64" i="14"/>
  <c r="J64" i="14"/>
  <c r="F64" i="14"/>
  <c r="W62" i="14"/>
  <c r="V62" i="14"/>
  <c r="U62" i="14"/>
  <c r="T62" i="14"/>
  <c r="R62" i="14"/>
  <c r="Q62" i="14"/>
  <c r="P62" i="14"/>
  <c r="O62" i="14"/>
  <c r="N62" i="14"/>
  <c r="M62" i="14"/>
  <c r="J62" i="14"/>
  <c r="F62" i="14"/>
  <c r="W61" i="14"/>
  <c r="V61" i="14"/>
  <c r="U61" i="14"/>
  <c r="T61" i="14"/>
  <c r="R61" i="14"/>
  <c r="Q61" i="14"/>
  <c r="P61" i="14"/>
  <c r="O61" i="14"/>
  <c r="N61" i="14"/>
  <c r="M61" i="14"/>
  <c r="J61" i="14"/>
  <c r="F61" i="14"/>
  <c r="W60" i="14"/>
  <c r="V60" i="14"/>
  <c r="U60" i="14"/>
  <c r="T60" i="14"/>
  <c r="R60" i="14"/>
  <c r="Q60" i="14"/>
  <c r="P60" i="14"/>
  <c r="O60" i="14"/>
  <c r="N60" i="14"/>
  <c r="M60" i="14"/>
  <c r="J60" i="14"/>
  <c r="F60" i="14"/>
  <c r="W57" i="14"/>
  <c r="V57" i="14"/>
  <c r="U57" i="14"/>
  <c r="T57" i="14"/>
  <c r="R57" i="14"/>
  <c r="Q57" i="14"/>
  <c r="P57" i="14"/>
  <c r="O57" i="14"/>
  <c r="N57" i="14"/>
  <c r="M57" i="14"/>
  <c r="J57" i="14"/>
  <c r="F57" i="14"/>
  <c r="W56" i="14"/>
  <c r="V56" i="14"/>
  <c r="U56" i="14"/>
  <c r="T56" i="14"/>
  <c r="R56" i="14"/>
  <c r="Q56" i="14"/>
  <c r="P56" i="14"/>
  <c r="O56" i="14"/>
  <c r="N56" i="14"/>
  <c r="M56" i="14"/>
  <c r="J56" i="14"/>
  <c r="F56" i="14"/>
  <c r="W55" i="14"/>
  <c r="V55" i="14"/>
  <c r="U55" i="14"/>
  <c r="T55" i="14"/>
  <c r="R55" i="14"/>
  <c r="Q55" i="14"/>
  <c r="P55" i="14"/>
  <c r="O55" i="14"/>
  <c r="N55" i="14"/>
  <c r="M55" i="14"/>
  <c r="J55" i="14"/>
  <c r="F55" i="14"/>
  <c r="W54" i="14"/>
  <c r="V54" i="14"/>
  <c r="U54" i="14"/>
  <c r="T54" i="14"/>
  <c r="R54" i="14"/>
  <c r="Q54" i="14"/>
  <c r="P54" i="14"/>
  <c r="O54" i="14"/>
  <c r="N54" i="14"/>
  <c r="M54" i="14"/>
  <c r="J54" i="14"/>
  <c r="F54" i="14"/>
  <c r="W52" i="14"/>
  <c r="V52" i="14"/>
  <c r="U52" i="14"/>
  <c r="T52" i="14"/>
  <c r="R52" i="14"/>
  <c r="Q52" i="14"/>
  <c r="P52" i="14"/>
  <c r="O52" i="14"/>
  <c r="N52" i="14"/>
  <c r="M52" i="14"/>
  <c r="J52" i="14"/>
  <c r="F52" i="14"/>
  <c r="W50" i="14"/>
  <c r="V50" i="14"/>
  <c r="U50" i="14"/>
  <c r="T50" i="14"/>
  <c r="R50" i="14"/>
  <c r="Q50" i="14"/>
  <c r="P50" i="14"/>
  <c r="O50" i="14"/>
  <c r="N50" i="14"/>
  <c r="M50" i="14"/>
  <c r="J50" i="14"/>
  <c r="F50" i="14"/>
  <c r="W48" i="14"/>
  <c r="V48" i="14"/>
  <c r="U48" i="14"/>
  <c r="T48" i="14"/>
  <c r="R48" i="14"/>
  <c r="Q48" i="14"/>
  <c r="P48" i="14"/>
  <c r="O48" i="14"/>
  <c r="N48" i="14"/>
  <c r="M48" i="14"/>
  <c r="J48" i="14"/>
  <c r="F48" i="14"/>
  <c r="W47" i="14"/>
  <c r="V47" i="14"/>
  <c r="U47" i="14"/>
  <c r="T47" i="14"/>
  <c r="R47" i="14"/>
  <c r="Q47" i="14"/>
  <c r="P47" i="14"/>
  <c r="O47" i="14"/>
  <c r="N47" i="14"/>
  <c r="M47" i="14"/>
  <c r="J47" i="14"/>
  <c r="F47" i="14"/>
  <c r="W46" i="14"/>
  <c r="V46" i="14"/>
  <c r="U46" i="14"/>
  <c r="T46" i="14"/>
  <c r="R46" i="14"/>
  <c r="Q46" i="14"/>
  <c r="P46" i="14"/>
  <c r="O46" i="14"/>
  <c r="N46" i="14"/>
  <c r="M46" i="14"/>
  <c r="J46" i="14"/>
  <c r="F46" i="14"/>
  <c r="W45" i="14"/>
  <c r="V45" i="14"/>
  <c r="U45" i="14"/>
  <c r="T45" i="14"/>
  <c r="R45" i="14"/>
  <c r="Q45" i="14"/>
  <c r="P45" i="14"/>
  <c r="O45" i="14"/>
  <c r="N45" i="14"/>
  <c r="M45" i="14"/>
  <c r="J45" i="14"/>
  <c r="F45" i="14"/>
  <c r="W44" i="14"/>
  <c r="V44" i="14"/>
  <c r="U44" i="14"/>
  <c r="T44" i="14"/>
  <c r="R44" i="14"/>
  <c r="Q44" i="14"/>
  <c r="P44" i="14"/>
  <c r="O44" i="14"/>
  <c r="N44" i="14"/>
  <c r="M44" i="14"/>
  <c r="J44" i="14"/>
  <c r="F44" i="14"/>
  <c r="W43" i="14"/>
  <c r="V43" i="14"/>
  <c r="U43" i="14"/>
  <c r="T43" i="14"/>
  <c r="R43" i="14"/>
  <c r="Q43" i="14"/>
  <c r="P43" i="14"/>
  <c r="O43" i="14"/>
  <c r="N43" i="14"/>
  <c r="M43" i="14"/>
  <c r="J43" i="14"/>
  <c r="F43" i="14"/>
  <c r="W41" i="14"/>
  <c r="V41" i="14"/>
  <c r="U41" i="14"/>
  <c r="T41" i="14"/>
  <c r="R41" i="14"/>
  <c r="Q41" i="14"/>
  <c r="P41" i="14"/>
  <c r="O41" i="14"/>
  <c r="N41" i="14"/>
  <c r="M41" i="14"/>
  <c r="J41" i="14"/>
  <c r="F41" i="14"/>
  <c r="W40" i="14"/>
  <c r="V40" i="14"/>
  <c r="U40" i="14"/>
  <c r="T40" i="14"/>
  <c r="R40" i="14"/>
  <c r="Q40" i="14"/>
  <c r="P40" i="14"/>
  <c r="O40" i="14"/>
  <c r="N40" i="14"/>
  <c r="M40" i="14"/>
  <c r="J40" i="14"/>
  <c r="F40" i="14"/>
  <c r="W37" i="14"/>
  <c r="V37" i="14"/>
  <c r="U37" i="14"/>
  <c r="T37" i="14"/>
  <c r="R37" i="14"/>
  <c r="Q37" i="14"/>
  <c r="P37" i="14"/>
  <c r="O37" i="14"/>
  <c r="N37" i="14"/>
  <c r="M37" i="14"/>
  <c r="J37" i="14"/>
  <c r="F37" i="14"/>
  <c r="W36" i="14"/>
  <c r="V36" i="14"/>
  <c r="U36" i="14"/>
  <c r="T36" i="14"/>
  <c r="R36" i="14"/>
  <c r="Q36" i="14"/>
  <c r="P36" i="14"/>
  <c r="O36" i="14"/>
  <c r="N36" i="14"/>
  <c r="M36" i="14"/>
  <c r="J36" i="14"/>
  <c r="F36" i="14"/>
  <c r="W35" i="14"/>
  <c r="V35" i="14"/>
  <c r="U35" i="14"/>
  <c r="T35" i="14"/>
  <c r="R35" i="14"/>
  <c r="Q35" i="14"/>
  <c r="P35" i="14"/>
  <c r="O35" i="14"/>
  <c r="N35" i="14"/>
  <c r="M35" i="14"/>
  <c r="J35" i="14"/>
  <c r="F35" i="14"/>
  <c r="W34" i="14"/>
  <c r="V34" i="14"/>
  <c r="U34" i="14"/>
  <c r="T34" i="14"/>
  <c r="R34" i="14"/>
  <c r="Q34" i="14"/>
  <c r="P34" i="14"/>
  <c r="O34" i="14"/>
  <c r="N34" i="14"/>
  <c r="M34" i="14"/>
  <c r="J34" i="14"/>
  <c r="F34" i="14"/>
  <c r="W32" i="14"/>
  <c r="V32" i="14"/>
  <c r="U32" i="14"/>
  <c r="T32" i="14"/>
  <c r="R32" i="14"/>
  <c r="Q32" i="14"/>
  <c r="P32" i="14"/>
  <c r="O32" i="14"/>
  <c r="N32" i="14"/>
  <c r="M32" i="14"/>
  <c r="J32" i="14"/>
  <c r="F32" i="14"/>
  <c r="W31" i="14"/>
  <c r="V31" i="14"/>
  <c r="U31" i="14"/>
  <c r="T31" i="14"/>
  <c r="R31" i="14"/>
  <c r="Q31" i="14"/>
  <c r="P31" i="14"/>
  <c r="O31" i="14"/>
  <c r="N31" i="14"/>
  <c r="M31" i="14"/>
  <c r="J31" i="14"/>
  <c r="F31" i="14"/>
  <c r="W29" i="14"/>
  <c r="V29" i="14"/>
  <c r="U29" i="14"/>
  <c r="T29" i="14"/>
  <c r="R29" i="14"/>
  <c r="Q29" i="14"/>
  <c r="P29" i="14"/>
  <c r="O29" i="14"/>
  <c r="N29" i="14"/>
  <c r="M29" i="14"/>
  <c r="J29" i="14"/>
  <c r="F29" i="14"/>
  <c r="W28" i="14"/>
  <c r="V28" i="14"/>
  <c r="U28" i="14"/>
  <c r="T28" i="14"/>
  <c r="R28" i="14"/>
  <c r="Q28" i="14"/>
  <c r="P28" i="14"/>
  <c r="O28" i="14"/>
  <c r="N28" i="14"/>
  <c r="M28" i="14"/>
  <c r="J28" i="14"/>
  <c r="F28" i="14"/>
  <c r="W27" i="14"/>
  <c r="V27" i="14"/>
  <c r="U27" i="14"/>
  <c r="T27" i="14"/>
  <c r="R27" i="14"/>
  <c r="Q27" i="14"/>
  <c r="P27" i="14"/>
  <c r="O27" i="14"/>
  <c r="N27" i="14"/>
  <c r="M27" i="14"/>
  <c r="J27" i="14"/>
  <c r="F27" i="14"/>
  <c r="W26" i="14"/>
  <c r="V26" i="14"/>
  <c r="U26" i="14"/>
  <c r="T26" i="14"/>
  <c r="R26" i="14"/>
  <c r="Q26" i="14"/>
  <c r="P26" i="14"/>
  <c r="O26" i="14"/>
  <c r="N26" i="14"/>
  <c r="M26" i="14"/>
  <c r="J26" i="14"/>
  <c r="F26" i="14"/>
  <c r="W25" i="14"/>
  <c r="V25" i="14"/>
  <c r="U25" i="14"/>
  <c r="T25" i="14"/>
  <c r="R25" i="14"/>
  <c r="Q25" i="14"/>
  <c r="P25" i="14"/>
  <c r="O25" i="14"/>
  <c r="N25" i="14"/>
  <c r="M25" i="14"/>
  <c r="J25" i="14"/>
  <c r="F25" i="14"/>
  <c r="W24" i="14"/>
  <c r="V24" i="14"/>
  <c r="U24" i="14"/>
  <c r="T24" i="14"/>
  <c r="R24" i="14"/>
  <c r="Q24" i="14"/>
  <c r="P24" i="14"/>
  <c r="O24" i="14"/>
  <c r="N24" i="14"/>
  <c r="M24" i="14"/>
  <c r="J24" i="14"/>
  <c r="F24" i="14"/>
  <c r="W22" i="14"/>
  <c r="V22" i="14"/>
  <c r="U22" i="14"/>
  <c r="T22" i="14"/>
  <c r="R22" i="14"/>
  <c r="Q22" i="14"/>
  <c r="P22" i="14"/>
  <c r="O22" i="14"/>
  <c r="N22" i="14"/>
  <c r="M22" i="14"/>
  <c r="J22" i="14"/>
  <c r="F22" i="14"/>
  <c r="W21" i="14"/>
  <c r="V21" i="14"/>
  <c r="U21" i="14"/>
  <c r="T21" i="14"/>
  <c r="R21" i="14"/>
  <c r="Q21" i="14"/>
  <c r="P21" i="14"/>
  <c r="O21" i="14"/>
  <c r="N21" i="14"/>
  <c r="M21" i="14"/>
  <c r="J21" i="14"/>
  <c r="F21" i="14"/>
  <c r="W20" i="14"/>
  <c r="V20" i="14"/>
  <c r="U20" i="14"/>
  <c r="T20" i="14"/>
  <c r="R20" i="14"/>
  <c r="Q20" i="14"/>
  <c r="P20" i="14"/>
  <c r="O20" i="14"/>
  <c r="N20" i="14"/>
  <c r="M20" i="14"/>
  <c r="J20" i="14"/>
  <c r="F20" i="14"/>
  <c r="W18" i="14"/>
  <c r="V18" i="14"/>
  <c r="U18" i="14"/>
  <c r="T18" i="14"/>
  <c r="R18" i="14"/>
  <c r="Q18" i="14"/>
  <c r="P18" i="14"/>
  <c r="O18" i="14"/>
  <c r="N18" i="14"/>
  <c r="M18" i="14"/>
  <c r="J18" i="14"/>
  <c r="F18" i="14"/>
  <c r="W17" i="14"/>
  <c r="V17" i="14"/>
  <c r="U17" i="14"/>
  <c r="T17" i="14"/>
  <c r="R17" i="14"/>
  <c r="Q17" i="14"/>
  <c r="P17" i="14"/>
  <c r="O17" i="14"/>
  <c r="N17" i="14"/>
  <c r="M17" i="14"/>
  <c r="J17" i="14"/>
  <c r="F17" i="14"/>
  <c r="W16" i="14"/>
  <c r="V16" i="14"/>
  <c r="U16" i="14"/>
  <c r="T16" i="14"/>
  <c r="R16" i="14"/>
  <c r="Q16" i="14"/>
  <c r="P16" i="14"/>
  <c r="O16" i="14"/>
  <c r="N16" i="14"/>
  <c r="M16" i="14"/>
  <c r="J16" i="14"/>
  <c r="F16" i="14"/>
  <c r="W14" i="14"/>
  <c r="V14" i="14"/>
  <c r="U14" i="14"/>
  <c r="T14" i="14"/>
  <c r="R14" i="14"/>
  <c r="Q14" i="14"/>
  <c r="P14" i="14"/>
  <c r="O14" i="14"/>
  <c r="N14" i="14"/>
  <c r="M14" i="14"/>
  <c r="J14" i="14"/>
  <c r="F14" i="14"/>
  <c r="W13" i="14"/>
  <c r="V13" i="14"/>
  <c r="U13" i="14"/>
  <c r="T13" i="14"/>
  <c r="R13" i="14"/>
  <c r="Q13" i="14"/>
  <c r="P13" i="14"/>
  <c r="O13" i="14"/>
  <c r="N13" i="14"/>
  <c r="M13" i="14"/>
  <c r="J13" i="14"/>
  <c r="F13" i="14"/>
  <c r="W12" i="14"/>
  <c r="V12" i="14"/>
  <c r="U12" i="14"/>
  <c r="T12" i="14"/>
  <c r="R12" i="14"/>
  <c r="Q12" i="14"/>
  <c r="P12" i="14"/>
  <c r="O12" i="14"/>
  <c r="N12" i="14"/>
  <c r="M12" i="14"/>
  <c r="J12" i="14"/>
  <c r="F12" i="14"/>
  <c r="W11" i="14"/>
  <c r="V11" i="14"/>
  <c r="U11" i="14"/>
  <c r="T11" i="14"/>
  <c r="R11" i="14"/>
  <c r="Q11" i="14"/>
  <c r="P11" i="14"/>
  <c r="O11" i="14"/>
  <c r="N11" i="14"/>
  <c r="M11" i="14"/>
  <c r="J11" i="14"/>
  <c r="F11" i="14"/>
  <c r="W10" i="14"/>
  <c r="V10" i="14"/>
  <c r="U10" i="14"/>
  <c r="T10" i="14"/>
  <c r="R10" i="14"/>
  <c r="Q10" i="14"/>
  <c r="P10" i="14"/>
  <c r="O10" i="14"/>
  <c r="N10" i="14"/>
  <c r="M10" i="14"/>
  <c r="J10" i="14"/>
  <c r="F10" i="14"/>
  <c r="W8" i="14"/>
  <c r="V8" i="14"/>
  <c r="U8" i="14"/>
  <c r="T8" i="14"/>
  <c r="R8" i="14"/>
  <c r="Q8" i="14"/>
  <c r="P8" i="14"/>
  <c r="O8" i="14"/>
  <c r="N8" i="14"/>
  <c r="M8" i="14"/>
  <c r="J8" i="14"/>
  <c r="F8" i="14"/>
  <c r="W7" i="14"/>
  <c r="V7" i="14"/>
  <c r="U7" i="14"/>
  <c r="T7" i="14"/>
  <c r="R7" i="14"/>
  <c r="Q7" i="14"/>
  <c r="P7" i="14"/>
  <c r="O7" i="14"/>
  <c r="N7" i="14"/>
  <c r="M7" i="14"/>
  <c r="J7" i="14"/>
  <c r="F7" i="14"/>
  <c r="W6" i="14"/>
  <c r="V6" i="14"/>
  <c r="U6" i="14"/>
  <c r="T6" i="14"/>
  <c r="R6" i="14"/>
  <c r="Q6" i="14"/>
  <c r="P6" i="14"/>
  <c r="O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T37" i="13"/>
  <c r="Q37" i="13"/>
  <c r="M37" i="13"/>
  <c r="E37" i="13"/>
  <c r="W77" i="13"/>
  <c r="U77" i="13"/>
  <c r="R77" i="13"/>
  <c r="P77" i="13"/>
  <c r="N77" i="13"/>
  <c r="L77" i="13"/>
  <c r="J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E117" i="13"/>
  <c r="W37" i="13"/>
  <c r="U37" i="13"/>
  <c r="R37" i="13"/>
  <c r="P37" i="13"/>
  <c r="N37" i="13"/>
  <c r="J37" i="13"/>
  <c r="F37" i="13"/>
  <c r="V7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J119" i="13"/>
  <c r="F119" i="13"/>
  <c r="T7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N51" i="13"/>
  <c r="L51" i="13"/>
  <c r="J51" i="13"/>
  <c r="H51" i="13"/>
  <c r="F51" i="13"/>
  <c r="V38" i="13"/>
  <c r="T38" i="13"/>
  <c r="P38" i="13"/>
  <c r="N38" i="13"/>
  <c r="L38" i="13"/>
  <c r="J38" i="13"/>
  <c r="H38" i="13"/>
  <c r="F38" i="13"/>
  <c r="V36" i="13"/>
  <c r="V118" i="13"/>
  <c r="T118" i="13"/>
  <c r="P118" i="13"/>
  <c r="N118" i="13"/>
  <c r="L118" i="13"/>
  <c r="J118" i="13"/>
  <c r="H118" i="13"/>
  <c r="F118" i="13"/>
  <c r="V116" i="13"/>
  <c r="T116" i="13"/>
  <c r="P116" i="13"/>
  <c r="N116" i="13"/>
  <c r="L116" i="13"/>
  <c r="J116" i="13"/>
  <c r="H116" i="13"/>
  <c r="F116" i="13"/>
  <c r="V115" i="13"/>
  <c r="T115" i="13"/>
  <c r="P115" i="13"/>
  <c r="N115" i="13"/>
  <c r="L115" i="13"/>
  <c r="J115" i="13"/>
  <c r="H115" i="13"/>
  <c r="F115" i="13"/>
  <c r="V91" i="13"/>
  <c r="T91" i="13"/>
  <c r="P91" i="13"/>
  <c r="N91" i="13"/>
  <c r="L91" i="13"/>
  <c r="J91" i="13"/>
  <c r="H91" i="13"/>
  <c r="F91" i="13"/>
  <c r="V78" i="13"/>
  <c r="T78" i="13"/>
  <c r="P78" i="13"/>
  <c r="N78" i="13"/>
  <c r="L78" i="13"/>
  <c r="J78" i="13"/>
  <c r="H78" i="13"/>
  <c r="F78" i="13"/>
  <c r="V76" i="13"/>
  <c r="T76" i="13"/>
  <c r="P76" i="13"/>
  <c r="N76" i="13"/>
  <c r="L76" i="13"/>
  <c r="J76" i="13"/>
  <c r="H76" i="13"/>
  <c r="F76" i="13"/>
  <c r="V75" i="13"/>
  <c r="T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J36" i="13"/>
  <c r="H36" i="13"/>
  <c r="F36" i="13"/>
  <c r="V35" i="13"/>
  <c r="T35" i="13"/>
  <c r="P35" i="13"/>
  <c r="N35" i="13"/>
  <c r="L35" i="13"/>
  <c r="J35" i="13"/>
  <c r="H35" i="13"/>
  <c r="F35" i="13"/>
  <c r="V11" i="13"/>
  <c r="T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S6" i="13" s="1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R41" i="13" l="1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" i="13"/>
  <c r="S81" i="13"/>
  <c r="S121" i="13"/>
  <c r="P41" i="13"/>
  <c r="Q34" i="25"/>
  <c r="P34" i="25"/>
  <c r="Q33" i="25"/>
  <c r="P33" i="25"/>
  <c r="Q32" i="25"/>
  <c r="P32" i="25"/>
  <c r="Q31" i="25"/>
  <c r="P31" i="25"/>
  <c r="Q30" i="25"/>
  <c r="P30" i="25"/>
  <c r="Q29" i="25"/>
  <c r="P29" i="25"/>
  <c r="Q28" i="25"/>
  <c r="P28" i="25"/>
  <c r="Q27" i="25"/>
  <c r="P27" i="25"/>
  <c r="Q26" i="25"/>
  <c r="P26" i="25"/>
  <c r="Q25" i="25"/>
  <c r="P25" i="25"/>
  <c r="Q24" i="25"/>
  <c r="P24" i="25"/>
  <c r="Q23" i="25"/>
  <c r="P23" i="25"/>
  <c r="Q22" i="25"/>
  <c r="P22" i="25"/>
  <c r="Q21" i="25"/>
  <c r="P21" i="25"/>
  <c r="Q20" i="25"/>
  <c r="P20" i="25"/>
  <c r="Q19" i="25"/>
  <c r="P19" i="25"/>
  <c r="Q18" i="25"/>
  <c r="P18" i="25"/>
  <c r="Q17" i="25"/>
  <c r="P17" i="25"/>
  <c r="Q16" i="25"/>
  <c r="P16" i="25"/>
  <c r="Q15" i="25"/>
  <c r="P15" i="25"/>
  <c r="Q14" i="25"/>
  <c r="P14" i="25"/>
  <c r="Q13" i="25"/>
  <c r="P13" i="25"/>
  <c r="Q12" i="25"/>
  <c r="P12" i="25"/>
  <c r="Q11" i="25"/>
  <c r="P11" i="25"/>
  <c r="Q10" i="25"/>
  <c r="P10" i="25"/>
  <c r="Q9" i="25"/>
  <c r="P9" i="25"/>
  <c r="Q8" i="25"/>
  <c r="P8" i="25"/>
  <c r="Q7" i="25"/>
  <c r="P7" i="25"/>
  <c r="Q6" i="25"/>
  <c r="P6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G117" i="13" l="1"/>
  <c r="G38" i="13"/>
  <c r="G77" i="13"/>
  <c r="G119" i="13"/>
  <c r="G37" i="13"/>
  <c r="G79" i="13"/>
  <c r="G116" i="13"/>
  <c r="G91" i="13"/>
  <c r="G76" i="13"/>
  <c r="G36" i="13"/>
  <c r="G11" i="13"/>
  <c r="G51" i="13"/>
  <c r="G118" i="13"/>
  <c r="G115" i="13"/>
  <c r="G78" i="13"/>
  <c r="G75" i="13"/>
  <c r="G35" i="13"/>
  <c r="I77" i="13"/>
  <c r="I118" i="13"/>
  <c r="I37" i="13"/>
  <c r="I79" i="13"/>
  <c r="I116" i="13"/>
  <c r="I91" i="13"/>
  <c r="I76" i="13"/>
  <c r="I36" i="13"/>
  <c r="I11" i="13"/>
  <c r="I75" i="13"/>
  <c r="I51" i="13"/>
  <c r="I35" i="13"/>
  <c r="I115" i="13"/>
  <c r="I117" i="13"/>
  <c r="I119" i="13"/>
  <c r="I38" i="13"/>
  <c r="I78" i="13"/>
  <c r="K37" i="13"/>
  <c r="K77" i="13"/>
  <c r="K119" i="13"/>
  <c r="K116" i="13"/>
  <c r="K91" i="13"/>
  <c r="K76" i="13"/>
  <c r="K36" i="13"/>
  <c r="K11" i="13"/>
  <c r="K117" i="13"/>
  <c r="K79" i="13"/>
  <c r="K51" i="13"/>
  <c r="K38" i="13"/>
  <c r="K118" i="13"/>
  <c r="K115" i="13"/>
  <c r="K78" i="13"/>
  <c r="K75" i="13"/>
  <c r="K35" i="13"/>
  <c r="O117" i="13"/>
  <c r="D117" i="13" s="1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77" i="13"/>
  <c r="D3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U86" i="14"/>
  <c r="M86" i="14"/>
  <c r="F59" i="14" l="1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G108" i="14" l="1"/>
  <c r="G104" i="14"/>
  <c r="G101" i="14"/>
  <c r="G97" i="14"/>
  <c r="G94" i="14"/>
  <c r="G87" i="14"/>
  <c r="G83" i="14"/>
  <c r="G79" i="14"/>
  <c r="G76" i="14"/>
  <c r="G73" i="14"/>
  <c r="G107" i="14"/>
  <c r="G103" i="14"/>
  <c r="G99" i="14"/>
  <c r="G96" i="14"/>
  <c r="G93" i="14"/>
  <c r="G85" i="14"/>
  <c r="G82" i="14"/>
  <c r="G78" i="14"/>
  <c r="G75" i="14"/>
  <c r="G105" i="14"/>
  <c r="G102" i="14"/>
  <c r="G98" i="14"/>
  <c r="G95" i="14"/>
  <c r="G88" i="14"/>
  <c r="G84" i="14"/>
  <c r="G81" i="14"/>
  <c r="G77" i="14"/>
  <c r="G74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61" i="14"/>
  <c r="G55" i="14"/>
  <c r="G7" i="14"/>
  <c r="G68" i="14"/>
  <c r="G64" i="14"/>
  <c r="G57" i="14"/>
  <c r="G52" i="14"/>
  <c r="G46" i="14"/>
  <c r="G41" i="14"/>
  <c r="G35" i="14"/>
  <c r="G29" i="14"/>
  <c r="G25" i="14"/>
  <c r="G20" i="14"/>
  <c r="G14" i="14"/>
  <c r="G10" i="14"/>
  <c r="G66" i="14"/>
  <c r="G48" i="14"/>
  <c r="G32" i="14"/>
  <c r="G17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44" i="14"/>
  <c r="G27" i="14"/>
  <c r="G22" i="14"/>
  <c r="G37" i="14"/>
  <c r="G12" i="14"/>
  <c r="K107" i="14"/>
  <c r="K103" i="14"/>
  <c r="K99" i="14"/>
  <c r="K96" i="14"/>
  <c r="K93" i="14"/>
  <c r="K85" i="14"/>
  <c r="K82" i="14"/>
  <c r="K78" i="14"/>
  <c r="K75" i="14"/>
  <c r="K105" i="14"/>
  <c r="K102" i="14"/>
  <c r="K98" i="14"/>
  <c r="K95" i="14"/>
  <c r="K88" i="14"/>
  <c r="K84" i="14"/>
  <c r="K81" i="14"/>
  <c r="K77" i="14"/>
  <c r="K74" i="14"/>
  <c r="K108" i="14"/>
  <c r="K104" i="14"/>
  <c r="K101" i="14"/>
  <c r="K97" i="14"/>
  <c r="K94" i="14"/>
  <c r="K87" i="14"/>
  <c r="K86" i="14" s="1"/>
  <c r="K83" i="14"/>
  <c r="K79" i="14"/>
  <c r="K76" i="14"/>
  <c r="K73" i="14"/>
  <c r="K68" i="14"/>
  <c r="K64" i="14"/>
  <c r="K57" i="14"/>
  <c r="K52" i="14"/>
  <c r="K46" i="14"/>
  <c r="K41" i="14"/>
  <c r="K35" i="14"/>
  <c r="K29" i="14"/>
  <c r="K25" i="14"/>
  <c r="K20" i="14"/>
  <c r="K14" i="14"/>
  <c r="K10" i="14"/>
  <c r="K60" i="14"/>
  <c r="K26" i="14"/>
  <c r="K11" i="14"/>
  <c r="K6" i="14"/>
  <c r="K67" i="14"/>
  <c r="K62" i="14"/>
  <c r="K56" i="14"/>
  <c r="K50" i="14"/>
  <c r="K45" i="14"/>
  <c r="K40" i="14"/>
  <c r="K34" i="14"/>
  <c r="K28" i="14"/>
  <c r="K24" i="14"/>
  <c r="K18" i="14"/>
  <c r="K13" i="14"/>
  <c r="K8" i="14"/>
  <c r="K16" i="14"/>
  <c r="K65" i="14"/>
  <c r="K47" i="14"/>
  <c r="K21" i="14"/>
  <c r="K66" i="14"/>
  <c r="K61" i="14"/>
  <c r="K55" i="14"/>
  <c r="K48" i="14"/>
  <c r="K44" i="14"/>
  <c r="K37" i="14"/>
  <c r="K32" i="14"/>
  <c r="K27" i="14"/>
  <c r="K22" i="14"/>
  <c r="K17" i="14"/>
  <c r="K12" i="14"/>
  <c r="K7" i="14"/>
  <c r="K31" i="14"/>
  <c r="K43" i="14"/>
  <c r="K54" i="14"/>
  <c r="K36" i="14"/>
  <c r="I108" i="14"/>
  <c r="I104" i="14"/>
  <c r="I101" i="14"/>
  <c r="I97" i="14"/>
  <c r="I94" i="14"/>
  <c r="I87" i="14"/>
  <c r="I83" i="14"/>
  <c r="I79" i="14"/>
  <c r="I76" i="14"/>
  <c r="I73" i="14"/>
  <c r="I107" i="14"/>
  <c r="I103" i="14"/>
  <c r="I99" i="14"/>
  <c r="I96" i="14"/>
  <c r="I93" i="14"/>
  <c r="I85" i="14"/>
  <c r="I82" i="14"/>
  <c r="I78" i="14"/>
  <c r="I75" i="14"/>
  <c r="I105" i="14"/>
  <c r="I102" i="14"/>
  <c r="I98" i="14"/>
  <c r="I95" i="14"/>
  <c r="I88" i="14"/>
  <c r="I84" i="14"/>
  <c r="I81" i="14"/>
  <c r="I77" i="14"/>
  <c r="I74" i="14"/>
  <c r="I65" i="14"/>
  <c r="I60" i="14"/>
  <c r="I54" i="14"/>
  <c r="I47" i="14"/>
  <c r="I43" i="14"/>
  <c r="I36" i="14"/>
  <c r="I31" i="14"/>
  <c r="I26" i="14"/>
  <c r="I21" i="14"/>
  <c r="I16" i="14"/>
  <c r="I11" i="14"/>
  <c r="I6" i="14"/>
  <c r="I68" i="14"/>
  <c r="I64" i="14"/>
  <c r="I57" i="14"/>
  <c r="I52" i="14"/>
  <c r="I46" i="14"/>
  <c r="I41" i="14"/>
  <c r="I35" i="14"/>
  <c r="I29" i="14"/>
  <c r="I25" i="14"/>
  <c r="I20" i="14"/>
  <c r="I14" i="14"/>
  <c r="I10" i="14"/>
  <c r="I13" i="14"/>
  <c r="I8" i="14"/>
  <c r="I67" i="14"/>
  <c r="I62" i="14"/>
  <c r="I56" i="14"/>
  <c r="I50" i="14"/>
  <c r="I45" i="14"/>
  <c r="I40" i="14"/>
  <c r="I34" i="14"/>
  <c r="I28" i="14"/>
  <c r="I24" i="14"/>
  <c r="I18" i="14"/>
  <c r="I66" i="14"/>
  <c r="I61" i="14"/>
  <c r="I55" i="14"/>
  <c r="I48" i="14"/>
  <c r="I44" i="14"/>
  <c r="I37" i="14"/>
  <c r="I32" i="14"/>
  <c r="I27" i="14"/>
  <c r="I22" i="14"/>
  <c r="I17" i="14"/>
  <c r="I12" i="14"/>
  <c r="I7" i="14"/>
  <c r="E67" i="14"/>
  <c r="E18" i="14"/>
  <c r="E48" i="14"/>
  <c r="E40" i="14"/>
  <c r="E64" i="14"/>
  <c r="E14" i="14"/>
  <c r="E45" i="14"/>
  <c r="E31" i="14"/>
  <c r="E60" i="14"/>
  <c r="E11" i="14"/>
  <c r="E41" i="14"/>
  <c r="E24" i="14"/>
  <c r="E55" i="14"/>
  <c r="E13" i="14"/>
  <c r="E36" i="14"/>
  <c r="E8" i="14"/>
  <c r="E50" i="14"/>
  <c r="E49" i="14" s="1"/>
  <c r="E17" i="14"/>
  <c r="E32" i="14"/>
  <c r="E68" i="14"/>
  <c r="D68" i="14" s="1"/>
  <c r="E46" i="14"/>
  <c r="E12" i="14"/>
  <c r="E28" i="14"/>
  <c r="E65" i="14"/>
  <c r="E43" i="14"/>
  <c r="E6" i="14"/>
  <c r="E25" i="14"/>
  <c r="E61" i="14"/>
  <c r="E37" i="14"/>
  <c r="E20" i="14"/>
  <c r="E21" i="14"/>
  <c r="E52" i="14"/>
  <c r="E34" i="14"/>
  <c r="E66" i="14"/>
  <c r="E10" i="14"/>
  <c r="E44" i="14"/>
  <c r="E29" i="14"/>
  <c r="E62" i="14"/>
  <c r="E7" i="14"/>
  <c r="E35" i="14"/>
  <c r="E26" i="14"/>
  <c r="E57" i="14"/>
  <c r="E56" i="14"/>
  <c r="E27" i="14"/>
  <c r="E22" i="14"/>
  <c r="E54" i="14"/>
  <c r="E47" i="14"/>
  <c r="E16" i="14"/>
  <c r="E103" i="14"/>
  <c r="E85" i="14"/>
  <c r="E97" i="14"/>
  <c r="E79" i="14"/>
  <c r="E105" i="14"/>
  <c r="E88" i="14"/>
  <c r="E74" i="14"/>
  <c r="E99" i="14"/>
  <c r="E82" i="14"/>
  <c r="E108" i="14"/>
  <c r="E94" i="14"/>
  <c r="E76" i="14"/>
  <c r="E102" i="14"/>
  <c r="E84" i="14"/>
  <c r="E96" i="14"/>
  <c r="E78" i="14"/>
  <c r="E104" i="14"/>
  <c r="E87" i="14"/>
  <c r="E73" i="14"/>
  <c r="E98" i="14"/>
  <c r="E81" i="14"/>
  <c r="E107" i="14"/>
  <c r="E93" i="14"/>
  <c r="E75" i="14"/>
  <c r="E101" i="14"/>
  <c r="E83" i="14"/>
  <c r="E95" i="14"/>
  <c r="E77" i="14"/>
  <c r="S106" i="14"/>
  <c r="S51" i="14"/>
  <c r="S49" i="14"/>
  <c r="S39" i="14"/>
  <c r="L86" i="14"/>
  <c r="L72" i="14"/>
  <c r="L51" i="14"/>
  <c r="G9" i="14"/>
  <c r="N86" i="14"/>
  <c r="E106" i="14" l="1"/>
  <c r="D47" i="14"/>
  <c r="G106" i="14"/>
  <c r="D21" i="14"/>
  <c r="D108" i="14"/>
  <c r="D95" i="14"/>
  <c r="D54" i="14"/>
  <c r="D22" i="14"/>
  <c r="D66" i="14"/>
  <c r="D35" i="14"/>
  <c r="D65" i="14"/>
  <c r="D45" i="14"/>
  <c r="D41" i="14"/>
  <c r="D25" i="14"/>
  <c r="D36" i="14"/>
  <c r="D37" i="14"/>
  <c r="D85" i="14"/>
  <c r="D27" i="14"/>
  <c r="D48" i="14"/>
  <c r="D60" i="14"/>
  <c r="D28" i="14"/>
  <c r="D26" i="14"/>
  <c r="D61" i="14"/>
  <c r="D103" i="14"/>
  <c r="D55" i="14"/>
  <c r="D67" i="14"/>
  <c r="D57" i="14"/>
  <c r="D32" i="14"/>
  <c r="D43" i="14"/>
  <c r="D31" i="14"/>
  <c r="D62" i="14"/>
  <c r="D29" i="14"/>
  <c r="D75" i="14"/>
  <c r="D16" i="14"/>
  <c r="D18" i="14"/>
  <c r="D6" i="14"/>
  <c r="D83" i="14"/>
  <c r="D102" i="14"/>
  <c r="I106" i="14"/>
  <c r="D17" i="14"/>
  <c r="D20" i="14"/>
  <c r="D44" i="14"/>
  <c r="D56" i="14"/>
  <c r="D46" i="14"/>
  <c r="K106" i="14"/>
  <c r="K100" i="14"/>
  <c r="E63" i="14"/>
  <c r="E92" i="14"/>
  <c r="I92" i="14"/>
  <c r="I100" i="14"/>
  <c r="E33" i="14"/>
  <c r="K59" i="14"/>
  <c r="K92" i="14"/>
  <c r="E30" i="14"/>
  <c r="G59" i="14"/>
  <c r="G86" i="14"/>
  <c r="E39" i="14"/>
  <c r="G92" i="14"/>
  <c r="G100" i="14"/>
  <c r="I59" i="14"/>
  <c r="I86" i="14"/>
  <c r="E42" i="14"/>
  <c r="E100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<sst xmlns="http://schemas.openxmlformats.org/spreadsheetml/2006/main" count="6450" uniqueCount="3506">
  <si>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</si>
  <si>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</si>
  <si>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</si>
  <si>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</si>
  <si>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</si>
  <si>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</si>
  <si>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</si>
  <si>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</si>
  <si>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</si>
  <si>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</si>
  <si>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</si>
  <si>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</si>
  <si>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</si>
  <si>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</si>
  <si>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</si>
  <si>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</si>
  <si>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</si>
  <si>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</si>
  <si>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</si>
  <si>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</si>
  <si>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</si>
  <si>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</si>
  <si>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</si>
  <si>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</si>
  <si>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</si>
  <si>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</si>
  <si>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</si>
  <si>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</si>
  <si>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</si>
  <si>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</si>
  <si>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</si>
  <si>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</si>
  <si>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</si>
  <si>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</si>
  <si>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</si>
  <si>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</si>
  <si>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</si>
  <si>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</si>
  <si>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</si>
  <si>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</si>
  <si>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</si>
  <si>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</si>
  <si>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</si>
  <si>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</si>
  <si>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</si>
  <si>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</si>
  <si>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</si>
  <si>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</si>
  <si>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</si>
  <si>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</si>
  <si>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</si>
  <si>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</si>
  <si>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</si>
  <si>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</si>
  <si>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</si>
  <si>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</si>
  <si>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</si>
  <si>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</si>
  <si>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</si>
  <si>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</si>
  <si>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</si>
  <si>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</si>
  <si>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</si>
  <si>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</si>
  <si>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</si>
  <si>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</si>
  <si>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</si>
  <si>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</si>
  <si>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</si>
  <si>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</si>
  <si>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</si>
  <si>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</si>
  <si>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</si>
  <si>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</si>
  <si>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</si>
  <si>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</si>
  <si>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</si>
  <si>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</si>
  <si>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</si>
  <si>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</si>
  <si>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</si>
  <si>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</si>
  <si>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</si>
  <si>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</si>
  <si>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</si>
  <si>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</si>
  <si>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</si>
  <si>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</si>
  <si>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</si>
  <si>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</si>
  <si>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</si>
  <si>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</si>
  <si>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</si>
  <si>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</si>
  <si>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</si>
  <si>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</si>
  <si>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</si>
  <si>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</si>
  <si>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</si>
  <si>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</si>
  <si>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</si>
  <si>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</si>
  <si>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</si>
  <si>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</si>
  <si>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</si>
  <si>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</si>
  <si>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</si>
  <si>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</si>
  <si>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</si>
  <si>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</si>
  <si>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</si>
  <si>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</si>
  <si>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</si>
  <si>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</si>
  <si>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</si>
  <si>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</si>
  <si>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</si>
  <si>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</si>
  <si>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</si>
  <si>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</si>
  <si>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</si>
  <si>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</si>
  <si>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</si>
  <si>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</si>
  <si>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</si>
  <si>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</si>
  <si>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</si>
  <si>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</si>
  <si>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</si>
  <si>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</si>
  <si>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</si>
  <si>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</si>
  <si>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</si>
  <si>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</si>
  <si>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</si>
  <si>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</si>
  <si>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</si>
  <si>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</si>
  <si>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</si>
  <si>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</si>
  <si>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</si>
  <si>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</si>
  <si>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</si>
  <si>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</si>
  <si>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</si>
  <si>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</si>
  <si>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</si>
  <si>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</si>
  <si>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</si>
  <si>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</si>
  <si>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</si>
  <si>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</si>
  <si>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</si>
  <si>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</si>
  <si>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</si>
  <si>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</si>
  <si>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</si>
  <si>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</si>
  <si>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</si>
  <si>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</si>
  <si>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</si>
  <si>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</si>
  <si>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</si>
  <si>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</si>
  <si>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</si>
  <si>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</si>
  <si>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</si>
  <si>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</si>
  <si>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</si>
  <si>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</si>
  <si>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</si>
  <si>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</si>
  <si>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</si>
  <si>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</si>
  <si>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</si>
  <si>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</si>
  <si>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</si>
  <si>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</si>
  <si>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</si>
  <si>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</si>
  <si>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</si>
  <si>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</si>
  <si>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</si>
  <si>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</si>
  <si>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</si>
  <si>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</si>
  <si>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</si>
  <si>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</si>
  <si>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</si>
  <si>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</si>
  <si>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</si>
  <si>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</si>
  <si>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</si>
  <si>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</si>
  <si>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</si>
  <si>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</si>
  <si>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</si>
  <si>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</si>
  <si>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</si>
  <si>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</si>
  <si>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</si>
  <si>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</si>
  <si>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</si>
  <si>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</si>
  <si>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</si>
  <si>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</si>
  <si>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</si>
  <si>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</si>
  <si>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</si>
  <si>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</si>
  <si>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</si>
  <si>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</si>
  <si>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</si>
  <si>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</si>
  <si>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</si>
  <si>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</si>
  <si>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</si>
  <si>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</si>
  <si>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</si>
  <si>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</si>
  <si>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</si>
  <si>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</si>
  <si>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</si>
  <si>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</si>
  <si>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</si>
  <si>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</si>
  <si>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</si>
  <si>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</si>
  <si>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</si>
  <si>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</si>
  <si>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</si>
  <si>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</si>
  <si>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</si>
  <si>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</si>
  <si>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</si>
  <si>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</si>
  <si>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</si>
  <si>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</si>
  <si>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</si>
  <si>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</si>
  <si>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</si>
  <si>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</si>
  <si>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</si>
  <si>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</si>
  <si>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</si>
  <si>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</si>
  <si>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</si>
  <si>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</si>
  <si>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</si>
  <si>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</si>
  <si>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</si>
  <si>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</si>
  <si>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</si>
  <si>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</si>
  <si>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</si>
  <si>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</si>
  <si>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</si>
  <si>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</si>
  <si>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</si>
  <si>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</si>
  <si>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</si>
  <si>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</si>
  <si>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</si>
  <si>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</si>
  <si>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</si>
  <si>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</si>
  <si>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</si>
  <si>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</si>
  <si>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</si>
  <si>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</si>
  <si>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</si>
  <si>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</si>
  <si>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</si>
  <si>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</si>
  <si>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</si>
  <si>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</si>
  <si>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</si>
  <si>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</si>
  <si>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</si>
  <si>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</si>
  <si>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</si>
  <si>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</si>
  <si>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</si>
  <si>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</si>
  <si>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</si>
  <si>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</si>
  <si>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</si>
  <si>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</si>
  <si>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</si>
  <si>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</si>
  <si>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</si>
  <si>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</si>
  <si>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</si>
  <si>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</si>
  <si>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</si>
  <si>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</si>
  <si>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</si>
  <si>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</si>
  <si>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</si>
  <si>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</si>
  <si>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</si>
  <si>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</si>
  <si>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</si>
  <si>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</si>
  <si>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</si>
  <si>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</si>
  <si>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</si>
  <si>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</si>
  <si>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</si>
  <si>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</si>
  <si>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</si>
  <si>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</si>
  <si>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</si>
  <si>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</si>
  <si>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</si>
  <si>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</si>
  <si>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</si>
  <si>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</si>
  <si>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</si>
  <si>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</si>
  <si>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</si>
  <si>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</si>
  <si>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</si>
  <si>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</si>
  <si>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</si>
  <si>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</si>
  <si>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</si>
  <si>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</si>
  <si>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</si>
  <si>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</si>
  <si>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</si>
  <si>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</si>
  <si>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</si>
  <si>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</si>
  <si>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</si>
  <si>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</si>
  <si>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</si>
  <si>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</si>
  <si>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</si>
  <si>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</si>
  <si>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</si>
  <si>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</si>
  <si>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</si>
  <si>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</si>
  <si>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</si>
  <si>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</si>
  <si>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</si>
  <si>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</si>
  <si>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</si>
  <si>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</si>
  <si>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</si>
  <si>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</si>
  <si>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</si>
  <si>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</si>
  <si>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</si>
  <si>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</si>
  <si>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</si>
  <si>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</si>
  <si>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</si>
  <si>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</si>
  <si>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</si>
  <si>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</si>
  <si>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</si>
  <si>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</si>
  <si>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</si>
  <si>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</si>
  <si>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</si>
  <si>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</si>
  <si>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</si>
  <si>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</si>
  <si>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</si>
  <si>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</si>
  <si>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</si>
  <si>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</si>
  <si>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</si>
  <si>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</si>
  <si>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</si>
  <si>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</si>
  <si>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</si>
  <si>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</si>
  <si>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</si>
  <si>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</si>
  <si>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</si>
  <si>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</si>
  <si>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</si>
  <si>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</si>
  <si>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</si>
  <si>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</si>
  <si>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</si>
  <si>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</si>
  <si>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</si>
  <si>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</si>
  <si>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</si>
  <si>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</si>
  <si>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</si>
  <si>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</si>
  <si>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</si>
  <si>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</si>
  <si>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</si>
  <si>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</si>
  <si>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</si>
  <si>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</si>
  <si>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</si>
  <si>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</si>
  <si>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</si>
  <si>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</si>
  <si>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</si>
  <si>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</si>
  <si>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</si>
  <si>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</si>
  <si>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</si>
  <si>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</si>
  <si>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</si>
  <si>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</si>
  <si>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</si>
  <si>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</si>
  <si>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</si>
  <si>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</si>
  <si>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</si>
  <si>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</si>
  <si>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</si>
  <si>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</si>
  <si>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</si>
  <si>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</si>
  <si>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</si>
  <si>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</si>
  <si>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</si>
  <si>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</si>
  <si>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</si>
  <si>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</si>
  <si>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</si>
  <si>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</si>
  <si>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</si>
  <si>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</si>
  <si>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</si>
  <si>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</si>
  <si>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</si>
  <si>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</si>
  <si>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</si>
  <si>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</si>
  <si>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</si>
  <si>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</si>
  <si>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</si>
  <si>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</si>
  <si>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</si>
  <si>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</si>
  <si>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</si>
  <si>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</si>
  <si>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</si>
  <si>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</si>
  <si>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</si>
  <si>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</si>
  <si>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</si>
  <si>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</si>
  <si>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</si>
  <si>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</si>
  <si>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</si>
  <si>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</si>
  <si>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</si>
  <si>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</si>
  <si>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</si>
  <si>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</si>
  <si>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</si>
  <si>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</si>
  <si>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</si>
  <si>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</si>
  <si>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</si>
  <si>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</si>
  <si>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</si>
  <si>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</si>
  <si>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</si>
  <si>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</si>
  <si>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</si>
  <si>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</si>
  <si>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</si>
  <si>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</si>
  <si>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</si>
  <si>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</si>
  <si>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</si>
  <si>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</si>
  <si>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</si>
  <si>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</si>
  <si>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</si>
  <si>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</si>
  <si>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</si>
  <si>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</si>
  <si>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</si>
  <si>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</si>
  <si>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</si>
  <si>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</si>
  <si>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</si>
  <si>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</si>
  <si>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</si>
  <si>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</si>
  <si>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</si>
  <si>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</si>
  <si>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</si>
  <si>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</si>
  <si>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</si>
  <si>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</si>
  <si>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</si>
  <si>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</si>
  <si>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</si>
  <si>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</si>
  <si>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</si>
  <si>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</si>
  <si>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</si>
  <si>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</si>
  <si>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</si>
  <si>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</si>
  <si>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</si>
  <si>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</si>
  <si>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</si>
  <si>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</si>
  <si>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</si>
  <si>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</si>
  <si>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</si>
  <si>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</si>
  <si>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</si>
  <si>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</si>
  <si>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</si>
  <si>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</si>
  <si>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</si>
  <si>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</si>
  <si>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</si>
  <si>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</si>
  <si>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</si>
  <si>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</si>
  <si>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</si>
  <si>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</si>
  <si>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</si>
  <si>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</si>
  <si>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</si>
  <si>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</si>
  <si>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</si>
  <si>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</si>
  <si>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</si>
  <si>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</si>
  <si>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</si>
  <si>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</si>
  <si>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</si>
  <si>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</si>
  <si>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</si>
  <si>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</si>
  <si>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</si>
  <si>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</si>
  <si>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</si>
  <si>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</si>
  <si>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</si>
  <si>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</si>
  <si>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</si>
  <si>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</si>
  <si>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</si>
  <si>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</si>
  <si>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</si>
  <si>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</si>
  <si>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</si>
  <si>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</si>
  <si>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</si>
  <si>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</si>
  <si>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</si>
  <si>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</si>
  <si>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</si>
  <si>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</si>
  <si>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</si>
  <si>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</si>
  <si>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</si>
  <si>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</si>
  <si>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</si>
  <si>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</si>
  <si>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</si>
  <si>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</si>
  <si>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</si>
  <si>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</si>
  <si>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</si>
  <si>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</si>
  <si>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</si>
  <si>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</si>
  <si>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</si>
  <si>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</si>
  <si>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</si>
  <si>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</si>
  <si>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</si>
  <si>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</si>
  <si>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</si>
  <si>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</si>
  <si>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</si>
  <si>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</si>
  <si>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</si>
  <si>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</si>
  <si>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</si>
  <si>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</si>
  <si>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</si>
  <si>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</si>
  <si>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</si>
  <si>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</si>
  <si>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</si>
  <si>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</si>
  <si>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</si>
  <si>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</si>
  <si>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</si>
  <si>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</si>
  <si>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</si>
  <si>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</si>
  <si>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</si>
  <si>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</si>
  <si>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</si>
  <si>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</si>
  <si>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</si>
  <si>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</si>
  <si>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</si>
  <si>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</si>
  <si>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</si>
  <si>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</si>
  <si>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</si>
  <si>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</si>
  <si>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</si>
  <si>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</si>
  <si>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</si>
  <si>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</si>
  <si>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</si>
  <si>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</si>
  <si>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</si>
  <si>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</si>
  <si>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</si>
  <si>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</si>
  <si>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</si>
  <si>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</si>
  <si>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</si>
  <si>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</si>
  <si>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</si>
  <si>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</si>
  <si>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</si>
  <si>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</si>
  <si>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</si>
  <si>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</si>
  <si>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</si>
  <si>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</si>
  <si>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</si>
  <si>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</si>
  <si>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</si>
  <si>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</si>
  <si>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</si>
  <si>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</si>
  <si>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</si>
  <si>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</si>
  <si>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</si>
  <si>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</si>
  <si>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</si>
  <si>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</si>
  <si>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</si>
  <si>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</si>
  <si>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</si>
  <si>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</si>
  <si>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</si>
  <si>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</si>
  <si>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</si>
  <si>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</si>
  <si>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</si>
  <si>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</si>
  <si>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</si>
  <si>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</si>
  <si>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</si>
  <si>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</si>
  <si>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</si>
  <si>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</si>
  <si>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</si>
  <si>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</si>
  <si>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</si>
  <si>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</si>
  <si>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</si>
  <si>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</si>
  <si>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</si>
  <si>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</si>
  <si>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</si>
  <si>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</si>
  <si>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</si>
  <si>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</si>
  <si>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</si>
  <si>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</si>
  <si>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</si>
  <si>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</si>
  <si>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</si>
  <si>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</si>
  <si>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</si>
  <si>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</si>
  <si>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</si>
  <si>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</si>
  <si>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</si>
  <si>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</si>
  <si>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</si>
  <si>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</si>
  <si>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</si>
  <si>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</si>
  <si>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</si>
  <si>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</si>
  <si>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</si>
  <si>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</si>
  <si>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</si>
  <si>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</si>
  <si>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</si>
  <si>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</si>
  <si>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</si>
  <si>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</si>
  <si>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</si>
  <si>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</si>
  <si>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</si>
  <si>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</si>
  <si>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</si>
  <si>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</si>
  <si>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</si>
  <si>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</si>
  <si>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</si>
  <si>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</si>
  <si>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</si>
  <si>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</si>
  <si>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</si>
  <si>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</si>
  <si>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</si>
  <si>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</si>
  <si>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</si>
  <si>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</si>
  <si>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</si>
  <si>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</si>
  <si>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</si>
  <si>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</si>
  <si>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</si>
  <si>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</si>
  <si>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</si>
  <si>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</si>
  <si>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</si>
  <si>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</si>
  <si>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</si>
  <si>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</si>
  <si>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</si>
  <si>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</si>
  <si>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</si>
  <si>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</si>
  <si>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</si>
  <si>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</si>
  <si>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</si>
  <si>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</si>
  <si>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</si>
  <si>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</si>
  <si>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</si>
  <si>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</si>
  <si>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</si>
  <si>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</si>
  <si>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</si>
  <si>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</si>
  <si>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</si>
  <si>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</si>
  <si>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</si>
  <si>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</si>
  <si>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</si>
  <si>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</si>
  <si>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</si>
  <si>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</si>
  <si>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</si>
  <si>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</si>
  <si>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</si>
  <si>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</si>
  <si>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</si>
  <si>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</si>
  <si>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</si>
  <si>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</si>
  <si>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</si>
  <si>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</si>
  <si>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</si>
  <si>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</si>
  <si>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</si>
  <si>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</si>
  <si>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</si>
  <si>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</si>
  <si>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</si>
  <si>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</si>
  <si>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</si>
  <si>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</si>
  <si>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</si>
  <si>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</si>
  <si>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</si>
  <si>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</si>
  <si>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</si>
  <si>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</si>
  <si>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</si>
  <si>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</si>
  <si>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</si>
  <si>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</si>
  <si>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</si>
  <si>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</si>
  <si>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</si>
  <si>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</si>
  <si>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</si>
  <si>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</si>
  <si>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</si>
  <si>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</si>
  <si>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</si>
  <si>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</si>
  <si>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</si>
  <si>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</si>
  <si>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</si>
  <si>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</si>
  <si>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</si>
  <si>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</si>
  <si>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</si>
  <si>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</si>
  <si>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</si>
  <si>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</si>
  <si>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</si>
  <si>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</si>
  <si>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</si>
  <si>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</si>
  <si>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</si>
  <si>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</si>
  <si>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</si>
  <si>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</si>
  <si>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</si>
  <si>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</si>
  <si>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</si>
  <si>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</si>
  <si>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</si>
  <si>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</si>
  <si>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</si>
  <si>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</si>
  <si>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</si>
  <si>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</si>
  <si>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</si>
  <si>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</si>
  <si>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</si>
  <si>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</si>
  <si>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</si>
  <si>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</si>
  <si>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</si>
  <si>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</si>
  <si>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</si>
  <si>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</si>
  <si>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</si>
  <si>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</si>
  <si>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</si>
  <si>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</si>
  <si>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</si>
  <si>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</si>
  <si>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</si>
  <si>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</si>
  <si>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</si>
  <si>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</si>
  <si>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</si>
  <si>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</si>
  <si>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</si>
  <si>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</si>
  <si>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</si>
  <si>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</si>
  <si>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</si>
  <si>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</si>
  <si>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</si>
  <si>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</si>
  <si>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</si>
  <si>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</si>
  <si>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</si>
  <si>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</si>
  <si>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</si>
  <si>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</si>
  <si>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</si>
  <si>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</si>
  <si>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</si>
  <si>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</si>
  <si>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</si>
  <si>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</si>
  <si>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</si>
  <si>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</si>
  <si>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</si>
  <si>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</si>
  <si>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</si>
  <si>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</si>
  <si>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</si>
  <si>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</si>
  <si>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</si>
  <si>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</si>
  <si>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</si>
  <si>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</si>
  <si>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</si>
  <si>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</si>
  <si>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</si>
  <si>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</si>
  <si>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</si>
  <si>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</si>
  <si>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</si>
  <si>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</si>
  <si>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</si>
  <si>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</si>
  <si>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</si>
  <si>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</si>
  <si>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</si>
  <si>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</si>
  <si>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</si>
  <si>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</si>
  <si>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</si>
  <si>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</si>
  <si>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</si>
  <si>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</si>
  <si>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</si>
  <si>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</si>
  <si>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</si>
  <si>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</si>
  <si>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</si>
  <si>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</si>
  <si>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</si>
  <si>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</si>
  <si>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</si>
  <si>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</si>
  <si>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</si>
  <si>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</si>
  <si>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</si>
  <si>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</si>
  <si>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</si>
  <si>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</si>
  <si>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</si>
  <si>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</si>
  <si>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</si>
  <si>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</si>
  <si>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</si>
  <si>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</si>
  <si>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</si>
  <si>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</si>
  <si>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</si>
  <si>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</si>
  <si>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</si>
  <si>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</si>
  <si>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</si>
  <si>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</si>
  <si>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</si>
  <si>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</si>
  <si>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</si>
  <si>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</si>
  <si>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</si>
  <si>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</si>
  <si>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</si>
  <si>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</si>
  <si>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</si>
  <si>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</si>
  <si>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</si>
  <si>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</si>
  <si>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</si>
  <si>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</si>
  <si>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</si>
  <si>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</si>
  <si>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</si>
  <si>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</si>
  <si>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</si>
  <si>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</si>
  <si>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</si>
  <si>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</si>
  <si>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</si>
  <si>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</si>
  <si>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</si>
  <si>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</si>
  <si>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</si>
  <si>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</si>
  <si>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</si>
  <si>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</si>
  <si>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</si>
  <si>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</si>
  <si>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</si>
  <si>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</si>
  <si>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</si>
  <si>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</si>
  <si>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</si>
  <si>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</si>
  <si>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</si>
  <si>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</si>
  <si>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</si>
  <si>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</si>
  <si>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</si>
  <si>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</si>
  <si>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</si>
  <si>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</si>
  <si>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</si>
  <si>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</si>
  <si>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</si>
  <si>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</si>
  <si>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</si>
  <si>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</si>
  <si>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</si>
  <si>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</si>
  <si>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</si>
  <si>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</si>
  <si>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</si>
  <si>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</si>
  <si>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</si>
  <si>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</si>
  <si>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</si>
  <si>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</si>
  <si>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</si>
  <si>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</si>
  <si>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</si>
  <si>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</si>
  <si>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</si>
  <si>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</si>
  <si>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</si>
  <si>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</si>
  <si>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</si>
  <si>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</si>
  <si>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</si>
  <si>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</si>
  <si>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</si>
  <si>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</si>
  <si>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</si>
  <si>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</si>
  <si>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</si>
  <si>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</si>
  <si>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</si>
  <si>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</si>
  <si>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</si>
  <si>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</si>
  <si>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</si>
  <si>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</si>
  <si>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</si>
  <si>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</si>
  <si>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</si>
  <si>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</si>
  <si>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</si>
  <si>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</si>
  <si>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</si>
  <si>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</si>
  <si>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</si>
  <si>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</si>
  <si>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</si>
  <si>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</si>
  <si>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</si>
  <si>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</si>
  <si>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</si>
  <si>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</si>
  <si>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</si>
  <si>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</si>
  <si>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</si>
  <si>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</si>
  <si>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</si>
  <si>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</si>
  <si>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</si>
  <si>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</si>
  <si>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</si>
  <si>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</si>
  <si>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</si>
  <si>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</si>
  <si>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</si>
  <si>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</si>
  <si>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</si>
  <si>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</si>
  <si>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</si>
  <si>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</si>
  <si>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</si>
  <si>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</si>
  <si>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</si>
  <si>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</si>
  <si>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</si>
  <si>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</si>
  <si>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</si>
  <si>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</si>
  <si>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</si>
  <si>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</si>
  <si>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</si>
  <si>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</si>
  <si>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</si>
  <si>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</si>
  <si>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</si>
  <si>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</si>
  <si>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</si>
  <si>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</si>
  <si>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</si>
  <si>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</si>
  <si>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</si>
  <si>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</si>
  <si>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</si>
  <si>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</si>
  <si>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</si>
  <si>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</si>
  <si>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</si>
  <si>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</si>
  <si>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</si>
  <si>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</si>
  <si>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</si>
  <si>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</si>
  <si>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</si>
  <si>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</si>
  <si>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</si>
  <si>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</si>
  <si>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</si>
  <si>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</si>
  <si>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</si>
  <si>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</si>
  <si>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</si>
  <si>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</si>
  <si>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</si>
  <si>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</si>
  <si>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</si>
  <si>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</si>
  <si>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</si>
  <si>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</si>
  <si>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</si>
  <si>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</si>
  <si>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</si>
  <si>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</si>
  <si>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</si>
  <si>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</si>
  <si>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</si>
  <si>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</si>
  <si>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</si>
  <si>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</si>
  <si>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</si>
  <si>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</si>
  <si>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</si>
  <si>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</si>
  <si>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</si>
  <si>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</si>
  <si>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</si>
  <si>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</si>
  <si>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</si>
  <si>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</si>
  <si>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</si>
  <si>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</si>
  <si>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</si>
  <si>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</si>
  <si>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</si>
  <si>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</si>
  <si>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</si>
  <si>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</si>
  <si>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</si>
  <si>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</si>
  <si>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</si>
  <si>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</si>
  <si>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</si>
  <si>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</si>
  <si>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</si>
  <si>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</si>
  <si>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</si>
  <si>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</si>
  <si>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</si>
  <si>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</si>
  <si>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</si>
  <si>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</si>
  <si>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</si>
  <si>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</si>
  <si>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</si>
  <si>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</si>
  <si>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</si>
  <si>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</si>
  <si>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</si>
  <si>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</si>
  <si>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</si>
  <si>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</si>
  <si>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</si>
  <si>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</si>
  <si>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</si>
  <si>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</si>
  <si>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</si>
  <si>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</si>
  <si>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</si>
  <si>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</si>
  <si>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</si>
  <si>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</si>
  <si>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</si>
  <si>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</si>
  <si>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</si>
  <si>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</si>
  <si>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</si>
  <si>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</si>
  <si>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</si>
  <si>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</si>
  <si>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</si>
  <si>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</si>
  <si>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</si>
  <si>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</si>
  <si>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</si>
  <si>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</si>
  <si>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</si>
  <si>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</si>
  <si>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</si>
  <si>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</si>
  <si>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</si>
  <si>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</si>
  <si>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</si>
  <si>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</si>
  <si>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</si>
  <si>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</si>
  <si>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</si>
  <si>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</si>
  <si>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</si>
  <si>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</si>
  <si>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</si>
  <si>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</si>
  <si>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</si>
  <si>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</si>
  <si>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</si>
  <si>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</si>
  <si>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</si>
  <si>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</si>
  <si>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</si>
  <si>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</si>
  <si>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</si>
  <si>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</si>
  <si>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</si>
  <si>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</si>
  <si>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</si>
  <si>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</si>
  <si>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</si>
  <si>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</si>
  <si>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</si>
  <si>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</si>
  <si>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</si>
  <si>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</si>
  <si>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</si>
  <si>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</si>
  <si>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</si>
  <si>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</si>
  <si>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</si>
  <si>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</si>
  <si>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</si>
  <si>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</si>
  <si>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</si>
  <si>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</si>
  <si>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</si>
  <si>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</si>
  <si>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</si>
  <si>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</si>
  <si>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</si>
  <si>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</si>
  <si>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</si>
  <si>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</si>
  <si>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</si>
  <si>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</si>
  <si>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</si>
  <si>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</si>
  <si>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</si>
  <si>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</si>
  <si>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</si>
  <si>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</si>
  <si>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</si>
  <si>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</si>
  <si>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</si>
  <si>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</si>
  <si>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</si>
  <si>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</si>
  <si>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</si>
  <si>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</si>
  <si>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</si>
  <si>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</si>
  <si>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</si>
  <si>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</si>
  <si>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</si>
  <si>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</si>
  <si>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</si>
  <si>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</si>
  <si>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</si>
  <si>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</si>
  <si>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</si>
  <si>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</si>
  <si>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</si>
  <si>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</si>
  <si>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</si>
  <si>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</si>
  <si>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</si>
  <si>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</si>
  <si>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</si>
  <si>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</si>
  <si>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</si>
  <si>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</si>
  <si>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</si>
  <si>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</si>
  <si>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</si>
  <si>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</si>
  <si>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</si>
  <si>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</si>
  <si>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</si>
  <si>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</si>
  <si>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</si>
  <si>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</si>
  <si>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</si>
  <si>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</si>
  <si>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</si>
  <si>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</si>
  <si>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</si>
  <si>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</si>
  <si>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</si>
  <si>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</si>
  <si>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</si>
  <si>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</si>
  <si>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</si>
  <si>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</si>
  <si>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</si>
  <si>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</si>
  <si>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</si>
  <si>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</si>
  <si>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</si>
  <si>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</si>
  <si>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</si>
  <si>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</si>
  <si>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</si>
  <si>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</si>
  <si>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</si>
  <si>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</si>
  <si>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</si>
  <si>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</si>
  <si>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</si>
  <si>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</si>
  <si>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</si>
  <si>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</si>
  <si>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</si>
  <si>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</si>
  <si>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</si>
  <si>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</si>
  <si>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</si>
  <si>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</si>
  <si>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</si>
  <si>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</si>
  <si>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</si>
  <si>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</si>
  <si>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</si>
  <si>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</si>
  <si>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</si>
  <si>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</si>
  <si>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</si>
  <si>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</si>
  <si>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</si>
  <si>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</si>
  <si>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</si>
  <si>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</si>
  <si>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</si>
  <si>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</si>
  <si>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</si>
  <si>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</si>
  <si>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</si>
  <si>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</si>
  <si>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</si>
  <si>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</si>
  <si>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</si>
  <si>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</si>
  <si>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</si>
  <si>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</si>
  <si>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</si>
  <si>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</si>
  <si>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</si>
  <si>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</si>
  <si>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</si>
  <si>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</si>
  <si>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</si>
  <si>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</si>
  <si>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</si>
  <si>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</si>
  <si>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</si>
  <si>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</si>
  <si>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</si>
  <si>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</si>
  <si>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</si>
  <si>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</si>
  <si>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</si>
  <si>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</si>
  <si>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</si>
  <si>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</si>
  <si>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</si>
  <si>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</si>
  <si>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</si>
  <si>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</si>
  <si>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</si>
  <si>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</si>
  <si>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</si>
  <si>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</si>
  <si>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</si>
  <si>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</si>
  <si>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</si>
  <si>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</si>
  <si>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</si>
  <si>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</si>
  <si>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</si>
  <si>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</si>
  <si>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</si>
  <si>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</si>
  <si>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</si>
  <si>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</si>
  <si>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</si>
  <si>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</si>
  <si>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</si>
  <si>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</si>
  <si>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</si>
  <si>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</si>
  <si>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</si>
  <si>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</si>
  <si>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</si>
  <si>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</si>
  <si>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</si>
  <si>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</si>
  <si>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</si>
  <si>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</si>
  <si>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</si>
  <si>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</si>
  <si>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</si>
  <si>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</si>
  <si>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</si>
  <si>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</si>
  <si>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</si>
  <si>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</si>
  <si>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</si>
  <si>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</si>
  <si>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</si>
  <si>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</si>
  <si>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</si>
  <si>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</si>
  <si>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</si>
  <si>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</si>
  <si>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</si>
  <si>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</si>
  <si>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</si>
  <si>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</si>
  <si>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</si>
  <si>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</si>
  <si>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</si>
  <si>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</si>
  <si>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</si>
  <si>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</si>
  <si>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</si>
  <si>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</si>
  <si>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</si>
  <si>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</si>
  <si>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</si>
  <si>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</si>
  <si>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</si>
  <si>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</si>
  <si>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</si>
  <si>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</si>
  <si>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</si>
  <si>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</si>
  <si>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</si>
  <si>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</si>
  <si>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</si>
  <si>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</si>
  <si>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</si>
  <si>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</si>
  <si>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</si>
  <si>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</si>
  <si>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</si>
  <si>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</si>
  <si>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</si>
  <si>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</si>
  <si>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</si>
  <si>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</si>
  <si>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</si>
  <si>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</si>
  <si>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</si>
  <si>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</si>
  <si>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</si>
  <si>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</si>
  <si>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</si>
  <si>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</si>
  <si>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</si>
  <si>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</si>
  <si>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</si>
  <si>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</si>
  <si>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</si>
  <si>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</si>
  <si>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</si>
  <si>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</si>
  <si>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</si>
  <si>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</si>
  <si>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</si>
  <si>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</si>
  <si>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</si>
  <si>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</si>
  <si>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</si>
  <si>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</si>
  <si>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</si>
  <si>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</si>
  <si>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</si>
  <si>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</si>
  <si>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</si>
  <si>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</si>
  <si>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</si>
  <si>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</si>
  <si>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</si>
  <si>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</si>
  <si>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</si>
  <si>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</si>
  <si>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</si>
  <si>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</si>
  <si>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</si>
  <si>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</si>
  <si>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</si>
  <si>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</si>
  <si>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</si>
  <si>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</si>
  <si>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</si>
  <si>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</si>
  <si>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</si>
  <si>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</si>
  <si>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</si>
  <si>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</si>
  <si>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</si>
  <si>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</si>
  <si>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</si>
  <si>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</si>
  <si>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</si>
  <si>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</si>
  <si>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</si>
  <si>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</si>
  <si>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</si>
  <si>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</si>
  <si>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</si>
  <si>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</si>
  <si>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</si>
  <si>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</si>
  <si>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</si>
  <si>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</si>
  <si>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</si>
  <si>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</si>
  <si>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</si>
  <si>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</si>
  <si>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</si>
  <si>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</si>
  <si>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</si>
  <si>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</si>
  <si>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</si>
  <si>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</si>
  <si>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</si>
  <si>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</si>
  <si>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</si>
  <si>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</si>
  <si>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</si>
  <si>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</si>
  <si>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</si>
  <si>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</si>
  <si>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</si>
  <si>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</si>
  <si>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</si>
  <si>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</si>
  <si>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</si>
  <si>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</si>
  <si>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</si>
  <si>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</si>
  <si>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</si>
  <si>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</si>
  <si>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</si>
  <si>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</si>
  <si>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</si>
  <si>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</si>
  <si>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</si>
  <si>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</si>
  <si>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</si>
  <si>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</si>
  <si>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</si>
  <si>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</si>
  <si>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</si>
  <si>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</si>
  <si>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</si>
  <si>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</si>
  <si>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</si>
  <si>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</si>
  <si>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</si>
  <si>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</si>
  <si>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</si>
  <si>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</si>
  <si>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</si>
  <si>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</si>
  <si>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</si>
  <si>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</si>
  <si>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</si>
  <si>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</si>
  <si>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</si>
  <si>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</si>
  <si>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</si>
  <si>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</si>
  <si>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</si>
  <si>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</si>
  <si>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</si>
  <si>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</si>
  <si>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</si>
  <si>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</si>
  <si>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</si>
  <si>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</si>
  <si>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</si>
  <si>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</si>
  <si>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</si>
  <si>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</si>
  <si>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</si>
  <si>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</si>
  <si>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</si>
  <si>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</si>
  <si>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</si>
  <si>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</si>
  <si>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</si>
  <si>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</si>
  <si>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</si>
  <si>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</si>
  <si>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</si>
  <si>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</si>
  <si>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</si>
  <si>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</si>
  <si>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</si>
  <si>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</si>
  <si>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</si>
  <si>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</si>
  <si>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</si>
  <si>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</si>
  <si>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</si>
  <si>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</si>
  <si>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</si>
  <si>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</si>
  <si>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</si>
  <si>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</si>
  <si>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</si>
  <si>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</si>
  <si>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</si>
  <si>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</si>
  <si>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</si>
  <si>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</si>
  <si>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</si>
  <si>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</si>
  <si>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</si>
  <si>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</si>
  <si>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</si>
  <si>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</si>
  <si>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</si>
  <si>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</si>
  <si>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</si>
  <si>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</si>
  <si>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</si>
  <si>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</si>
  <si>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</si>
  <si>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</si>
  <si>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</si>
  <si>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</si>
  <si>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</si>
  <si>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</si>
  <si>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</si>
  <si>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</si>
  <si>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</si>
  <si>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</si>
  <si>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</si>
  <si>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</si>
  <si>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</si>
  <si>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</si>
  <si>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</si>
  <si>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</si>
  <si>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</si>
  <si>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</si>
  <si>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</si>
  <si>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</si>
  <si>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</si>
  <si>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</si>
  <si>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</si>
  <si>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</si>
  <si>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</si>
  <si>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</si>
  <si>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</si>
  <si>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</si>
  <si>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</si>
  <si>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</si>
  <si>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</si>
  <si>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</si>
  <si>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</si>
  <si>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</si>
  <si>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</si>
  <si>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</si>
  <si>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</si>
  <si>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</si>
  <si>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</si>
  <si>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</si>
  <si>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</si>
  <si>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</si>
  <si>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</si>
  <si>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</si>
  <si>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</si>
  <si>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</si>
  <si>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</si>
  <si>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</si>
  <si>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</si>
  <si>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</si>
  <si>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</si>
  <si>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</si>
  <si>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</si>
  <si>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</si>
  <si>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</si>
  <si>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</si>
  <si>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</si>
  <si>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</si>
  <si>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</si>
  <si>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</si>
  <si>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</si>
  <si>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</si>
  <si>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</si>
  <si>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</si>
  <si>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</si>
  <si>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</si>
  <si>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</si>
  <si>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</si>
  <si>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</si>
  <si>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</si>
  <si>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</si>
  <si>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</si>
  <si>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</si>
  <si>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</si>
  <si>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</si>
  <si>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</si>
  <si>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</si>
  <si>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</si>
  <si>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</si>
  <si>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</si>
  <si>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</si>
  <si>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</si>
  <si>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</si>
  <si>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</si>
  <si>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</si>
  <si>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</si>
  <si>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</si>
  <si>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</si>
  <si>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</si>
  <si>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</si>
  <si>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</si>
  <si>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</si>
  <si>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</si>
  <si>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</si>
  <si>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</si>
  <si>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</si>
  <si>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</si>
  <si>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</si>
  <si>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</si>
  <si>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</si>
  <si>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</si>
  <si>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</si>
  <si>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</si>
  <si>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</si>
  <si>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</si>
  <si>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</si>
  <si>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</si>
  <si>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</si>
  <si>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</si>
  <si>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</si>
  <si>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</si>
  <si>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</si>
  <si>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</si>
  <si>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</si>
  <si>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</si>
  <si>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</si>
  <si>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</si>
  <si>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</si>
  <si>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</si>
  <si>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</si>
  <si>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</si>
  <si>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</si>
  <si>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</si>
  <si>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</si>
  <si>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</si>
  <si>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</si>
  <si>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</si>
  <si>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</si>
  <si>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</si>
  <si>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</si>
  <si>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</si>
  <si>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</si>
  <si>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</si>
  <si>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</si>
  <si>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</si>
  <si>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</si>
  <si>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</si>
  <si>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</si>
  <si>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</si>
  <si>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</si>
  <si>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</si>
  <si>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</si>
  <si>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</si>
  <si>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</si>
  <si>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</si>
  <si>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</si>
  <si>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</si>
  <si>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</si>
  <si>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</si>
  <si>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</si>
  <si>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</si>
  <si>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</si>
  <si>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</si>
  <si>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</si>
  <si>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</si>
  <si>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</si>
  <si>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</si>
  <si>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</si>
  <si>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</si>
  <si>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</si>
  <si>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</si>
  <si>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</si>
  <si>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</si>
  <si>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</si>
  <si>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</si>
  <si>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</si>
  <si>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</si>
  <si>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</si>
  <si>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</si>
  <si>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</si>
  <si>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</si>
  <si>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</si>
  <si>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</si>
  <si>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</si>
  <si>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</si>
  <si>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</si>
  <si>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</si>
  <si>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</si>
  <si>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</si>
  <si>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</si>
  <si>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</si>
  <si>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</si>
  <si>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</si>
  <si>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</si>
  <si>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</si>
  <si>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</si>
  <si>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</si>
  <si>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</si>
  <si>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</si>
  <si>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</si>
  <si>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</si>
  <si>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</si>
  <si>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</si>
  <si>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</si>
  <si>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</si>
  <si>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</si>
  <si>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</si>
  <si>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</si>
  <si>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</si>
  <si>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</si>
  <si>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</si>
  <si>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</si>
  <si>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</si>
  <si>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</si>
  <si>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</si>
  <si>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</si>
  <si>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</si>
  <si>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</si>
  <si>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</si>
  <si>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</si>
  <si>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</si>
  <si>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</si>
  <si>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</si>
  <si>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</si>
  <si>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</si>
  <si>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</si>
  <si>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</si>
  <si>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</si>
  <si>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</si>
  <si>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</si>
  <si>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</si>
  <si>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</si>
  <si>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</si>
  <si>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</si>
  <si>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</si>
  <si>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</si>
  <si>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</si>
  <si>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</si>
  <si>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</si>
  <si>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</si>
  <si>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</si>
  <si>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</si>
  <si>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</si>
  <si>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</si>
  <si>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</si>
  <si>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</si>
  <si>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</si>
  <si>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</si>
  <si>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</si>
  <si>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</si>
  <si>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</si>
  <si>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</si>
  <si>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</si>
  <si>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</si>
  <si>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</si>
  <si>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</si>
  <si>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</si>
  <si>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</si>
  <si>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</si>
  <si>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</si>
  <si>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</si>
  <si>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</si>
  <si>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</si>
  <si>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</si>
  <si>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</si>
  <si>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</si>
  <si>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</si>
  <si>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</si>
  <si>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</si>
  <si>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</si>
  <si>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</si>
  <si>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</si>
  <si>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</si>
  <si>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</si>
  <si>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</si>
  <si>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</si>
  <si>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</si>
  <si>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</si>
  <si>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</si>
  <si>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</si>
  <si>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</si>
  <si>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</si>
  <si>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</si>
  <si>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</si>
  <si>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</si>
  <si>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</si>
  <si>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</si>
  <si>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</si>
  <si>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</si>
  <si>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</si>
  <si>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</si>
  <si>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</si>
  <si>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</si>
  <si>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</si>
  <si>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</si>
  <si>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</si>
  <si>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</si>
  <si>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</si>
  <si>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</si>
  <si>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</si>
  <si>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</si>
  <si>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</si>
  <si>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</si>
  <si>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</si>
  <si>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</si>
  <si>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</si>
  <si>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</si>
  <si>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</si>
  <si>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</si>
  <si>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</si>
  <si>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</si>
  <si>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</si>
  <si>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</si>
  <si>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</si>
  <si>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</si>
  <si>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</si>
  <si>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</si>
  <si>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</si>
  <si>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</si>
  <si>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</si>
  <si>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</si>
  <si>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</si>
  <si>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</si>
  <si>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</si>
  <si>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</si>
  <si>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</si>
  <si>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</si>
  <si>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</si>
  <si>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</si>
  <si>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</si>
  <si>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</si>
  <si>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</si>
  <si>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</si>
  <si>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</si>
  <si>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</si>
  <si>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</si>
  <si>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</si>
  <si>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</si>
  <si>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</si>
  <si>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</si>
  <si>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</si>
  <si>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</si>
  <si>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</si>
  <si>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</si>
  <si>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</si>
  <si>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</si>
  <si>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</si>
  <si>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</si>
  <si>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</si>
  <si>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</si>
  <si>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</si>
  <si>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</si>
  <si>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</si>
  <si>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</si>
  <si>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</si>
  <si>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</si>
  <si>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</si>
  <si>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</si>
  <si>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</si>
  <si>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</si>
  <si>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</si>
  <si>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</si>
  <si>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</si>
  <si>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</si>
  <si>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</si>
  <si>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</si>
  <si>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</si>
  <si>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</si>
  <si>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</si>
  <si>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</si>
  <si>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</si>
  <si>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</si>
  <si>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</si>
  <si>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</si>
  <si>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</si>
  <si>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</si>
  <si>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</si>
  <si>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</si>
  <si>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</si>
  <si>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</si>
  <si>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</si>
  <si>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</si>
  <si>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</si>
  <si>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</si>
  <si>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</si>
  <si>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</si>
  <si>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</si>
  <si>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</si>
  <si>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</si>
  <si>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</si>
  <si>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</si>
  <si>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</si>
  <si>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</si>
  <si>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</si>
  <si>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</si>
  <si>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</si>
  <si>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</si>
  <si>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</si>
  <si>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</si>
  <si>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</si>
  <si>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</si>
  <si>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</si>
  <si>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</si>
  <si>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</si>
  <si>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</si>
  <si>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</si>
  <si>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</si>
  <si>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</si>
  <si>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</si>
  <si>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</si>
  <si>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</si>
  <si>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</si>
  <si>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</si>
  <si>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</si>
  <si>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</si>
  <si>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</si>
  <si>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</si>
  <si>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</si>
  <si>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</si>
  <si>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</si>
  <si>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</si>
  <si>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</si>
  <si>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</si>
  <si>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</si>
  <si>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</si>
  <si>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</si>
  <si>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</si>
  <si>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</si>
  <si>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</si>
  <si>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</si>
  <si>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</si>
  <si>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</si>
  <si>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</si>
  <si>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</si>
  <si>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</si>
  <si>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</si>
  <si>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</si>
  <si>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</si>
  <si>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</si>
  <si>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</si>
  <si>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</si>
  <si>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</si>
  <si>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</si>
  <si>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</si>
  <si>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</si>
  <si>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</si>
  <si>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</si>
  <si>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</si>
  <si>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</si>
  <si>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</si>
  <si>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</si>
  <si>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</si>
  <si>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</si>
  <si>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</si>
  <si>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</si>
  <si>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</si>
  <si>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</si>
  <si>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</si>
  <si>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</si>
  <si>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</si>
  <si>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</si>
  <si>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</si>
  <si>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</si>
  <si>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</si>
  <si>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</si>
  <si>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</si>
  <si>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</si>
  <si>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</si>
  <si>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</si>
  <si>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</si>
  <si>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</si>
  <si>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</si>
  <si>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</si>
  <si>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</si>
  <si>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</si>
  <si>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</si>
  <si>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</si>
  <si>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</si>
  <si>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</si>
  <si>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</si>
  <si>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</si>
  <si>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</si>
  <si>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</si>
  <si>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</si>
  <si>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</si>
  <si>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</si>
  <si>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</si>
  <si>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</si>
  <si>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</si>
  <si>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</si>
  <si>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</si>
  <si>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</si>
  <si>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</si>
  <si>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</si>
  <si>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</si>
  <si>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</si>
  <si>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</si>
  <si>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</si>
  <si>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</si>
  <si>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</si>
  <si>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</si>
  <si>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</si>
  <si>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</si>
  <si>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</si>
  <si>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</si>
  <si>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</si>
  <si>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</si>
  <si>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</si>
  <si>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</si>
  <si>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</si>
  <si>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</si>
  <si>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</si>
  <si>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</si>
  <si>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</si>
  <si>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</si>
  <si>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</si>
  <si>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</si>
  <si>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</si>
  <si>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</si>
  <si>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</si>
  <si>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</si>
  <si>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</si>
  <si>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</si>
  <si>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</si>
  <si>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</si>
  <si>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</si>
  <si>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</si>
  <si>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</si>
  <si>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</si>
  <si>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</si>
  <si>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</si>
  <si>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</si>
  <si>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</si>
  <si>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</si>
  <si>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</si>
  <si>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</si>
  <si>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</si>
  <si>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</si>
  <si>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</si>
  <si>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</si>
  <si>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</si>
  <si>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</si>
  <si>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</si>
  <si>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</si>
  <si>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</si>
  <si>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</si>
  <si>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</si>
  <si>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</si>
  <si>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</si>
  <si>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</si>
  <si>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</si>
  <si>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</si>
  <si>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</si>
  <si>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</si>
  <si>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</si>
  <si>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</si>
  <si>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</si>
  <si>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</si>
  <si>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</si>
  <si>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</si>
  <si>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</si>
  <si>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</si>
  <si>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</si>
  <si>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</si>
  <si>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</si>
  <si>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</si>
  <si>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</si>
  <si>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</si>
  <si>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</si>
  <si>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</si>
  <si>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</si>
  <si>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</si>
  <si>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</si>
  <si>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</si>
  <si>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</si>
  <si>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</si>
  <si>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</si>
  <si>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</si>
  <si>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</si>
  <si>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</si>
  <si>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</si>
  <si>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</si>
  <si>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</si>
  <si>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</si>
  <si>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</si>
  <si>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</si>
  <si>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</si>
  <si>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</si>
  <si>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</si>
  <si>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</si>
  <si>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</si>
  <si>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</si>
  <si>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</si>
  <si>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</si>
  <si>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</si>
  <si>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</si>
  <si>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</si>
  <si>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</si>
  <si>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</si>
  <si>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</si>
  <si>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</si>
  <si>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</si>
  <si>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</si>
  <si>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</si>
  <si>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</si>
  <si>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</si>
  <si>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</si>
  <si>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</si>
  <si>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</si>
  <si>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</si>
  <si>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</si>
  <si>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</si>
  <si>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</si>
  <si>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</si>
  <si>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</si>
  <si>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</si>
  <si>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</si>
  <si>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</si>
  <si>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</si>
  <si>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</si>
  <si>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</si>
  <si>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</si>
  <si>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</si>
  <si>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</si>
  <si>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</si>
  <si>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</si>
  <si>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</si>
  <si>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</si>
  <si>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</si>
  <si>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</si>
  <si>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</si>
  <si>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</si>
  <si>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</si>
  <si>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</si>
  <si>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</si>
  <si>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</si>
  <si>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</si>
  <si>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</si>
  <si>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</si>
  <si>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</si>
  <si>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</si>
  <si>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</si>
  <si>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</si>
  <si>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</si>
  <si>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</si>
  <si>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</si>
  <si>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</si>
  <si>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</si>
  <si>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</si>
  <si>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</si>
  <si>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</si>
  <si>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</si>
  <si>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</si>
  <si>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</si>
  <si>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</si>
  <si>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</si>
  <si>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</si>
  <si>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</si>
  <si>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</si>
  <si>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</si>
  <si>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</si>
  <si>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</si>
  <si>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</si>
  <si>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</si>
  <si>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</si>
  <si>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</si>
  <si>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</si>
  <si>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</si>
  <si>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</si>
  <si>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</si>
  <si>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</si>
  <si>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</si>
  <si>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</si>
  <si>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</si>
  <si>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</si>
  <si>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</si>
  <si>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</si>
  <si>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</si>
  <si>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</si>
  <si>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</si>
  <si>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</si>
  <si>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</si>
  <si>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</si>
  <si>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</si>
  <si>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</si>
  <si>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</si>
  <si>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</si>
  <si>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</si>
  <si>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</si>
  <si>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</si>
  <si>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</si>
  <si>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</si>
  <si>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</si>
  <si>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</si>
  <si>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</si>
  <si>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</si>
  <si>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</si>
  <si>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</si>
  <si>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</si>
  <si>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</si>
  <si>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</si>
  <si>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</si>
  <si>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</si>
  <si>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</si>
  <si>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</si>
  <si>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</si>
  <si>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</si>
  <si>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</si>
  <si>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</si>
  <si>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</si>
  <si>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</si>
  <si>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</si>
  <si>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</si>
  <si>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</si>
  <si>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</si>
  <si>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</si>
  <si>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</si>
  <si>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</si>
  <si>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</si>
  <si>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</si>
  <si>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</si>
  <si>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</si>
  <si>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</si>
  <si>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</si>
  <si>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</si>
  <si>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</si>
  <si>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</si>
  <si>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</si>
  <si>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</si>
  <si>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</si>
  <si>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</si>
  <si>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</si>
  <si>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</si>
  <si>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</si>
  <si>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</si>
  <si>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</si>
  <si>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</si>
  <si>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</si>
  <si>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</si>
  <si>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</si>
  <si>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</si>
  <si>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</si>
  <si>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</si>
  <si>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</si>
  <si>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</si>
  <si>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</si>
  <si>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</si>
  <si>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</si>
  <si>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</si>
  <si>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</si>
  <si>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</si>
  <si>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</si>
  <si>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</si>
  <si>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</si>
  <si>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</si>
  <si>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</si>
  <si>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</si>
  <si>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</si>
  <si>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</si>
  <si>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</si>
  <si>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</si>
  <si>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</si>
  <si>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</si>
  <si>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</si>
  <si>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</si>
  <si>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</si>
  <si>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</si>
  <si>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</si>
  <si>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</si>
  <si>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</si>
  <si>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</si>
  <si>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</si>
  <si>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</si>
  <si>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</si>
  <si>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</si>
  <si>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</si>
  <si>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</si>
  <si>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</si>
  <si>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</si>
  <si>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</si>
  <si>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</si>
  <si>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</si>
  <si>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</si>
  <si>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</si>
  <si>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</si>
  <si>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</si>
  <si>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</si>
  <si>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</si>
  <si>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</si>
  <si>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</si>
  <si>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</si>
  <si>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</si>
  <si>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</si>
  <si>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</si>
  <si>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</si>
  <si>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</si>
  <si>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</si>
  <si>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</si>
  <si>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</si>
  <si>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</si>
  <si>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</si>
  <si>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</si>
  <si>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</si>
  <si>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</si>
  <si>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</si>
  <si>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</si>
  <si>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</si>
  <si>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</si>
  <si>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</si>
  <si>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</si>
  <si>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</si>
  <si>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</si>
  <si>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</si>
  <si>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</si>
  <si>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</si>
  <si>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</si>
  <si>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</si>
  <si>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</si>
  <si>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</si>
  <si>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</si>
  <si>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</si>
  <si>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</si>
  <si>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</si>
  <si>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</si>
  <si>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</si>
  <si>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</si>
  <si>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</si>
  <si>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</si>
  <si>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</si>
  <si>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</si>
  <si>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</si>
  <si>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</si>
  <si>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</si>
  <si>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</si>
  <si>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</si>
  <si>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</si>
  <si>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</si>
  <si>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</si>
  <si>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</si>
  <si>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</si>
  <si>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</si>
  <si>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</si>
  <si>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</si>
  <si>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</si>
  <si>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</si>
  <si>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</si>
  <si>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</si>
  <si>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</si>
  <si>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</si>
  <si>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</si>
  <si>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</si>
  <si>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</si>
  <si>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</si>
  <si>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</si>
  <si>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</si>
  <si>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</si>
  <si>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</si>
  <si>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</si>
  <si>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</si>
  <si>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</si>
  <si>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</si>
  <si>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</si>
  <si>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</si>
  <si>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</si>
  <si>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</si>
  <si>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</si>
  <si>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</si>
  <si>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</si>
  <si>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</si>
  <si>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</si>
  <si>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</si>
  <si>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</si>
  <si>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</si>
  <si>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</si>
  <si>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</si>
  <si>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</si>
  <si>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</si>
  <si>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</si>
  <si>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</si>
  <si>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</si>
  <si>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</si>
  <si>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</si>
  <si>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</si>
  <si>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</si>
  <si>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</si>
  <si>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</si>
  <si>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</si>
  <si>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</si>
  <si>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</si>
  <si>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</si>
  <si>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</si>
  <si>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</si>
  <si>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</si>
  <si>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</si>
  <si>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</si>
  <si>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</si>
  <si>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</si>
  <si>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</si>
  <si>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</si>
  <si>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</si>
  <si>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</si>
  <si>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</si>
  <si>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</si>
  <si>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</si>
  <si>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</si>
  <si>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</si>
  <si>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</si>
  <si>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</si>
  <si>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</si>
  <si>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</si>
  <si>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</si>
  <si>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</si>
  <si>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</si>
  <si>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</si>
  <si>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</si>
  <si>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</si>
  <si>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</si>
  <si>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</si>
  <si>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</si>
  <si>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</si>
  <si>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</si>
  <si>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</si>
  <si>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</si>
  <si>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</si>
  <si>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</si>
  <si>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</si>
  <si>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</si>
  <si>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</si>
  <si>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</si>
  <si>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</si>
  <si>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</si>
  <si>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</si>
  <si>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</si>
  <si>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</si>
  <si>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</si>
  <si>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</si>
  <si>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</si>
  <si>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</si>
  <si>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</si>
  <si>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</si>
  <si>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</si>
  <si>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</si>
  <si>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</si>
  <si>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</si>
  <si>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</si>
  <si>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</si>
  <si>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</si>
  <si>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</si>
  <si>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</si>
  <si>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</si>
  <si>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</si>
  <si>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</si>
  <si>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</si>
  <si>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</si>
  <si>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</si>
  <si>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</si>
  <si>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</si>
  <si>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</si>
  <si>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</si>
  <si>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</si>
  <si>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</si>
  <si>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</si>
  <si>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</si>
  <si>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</si>
  <si>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</si>
  <si>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</si>
  <si>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</si>
  <si>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</si>
  <si>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</si>
  <si>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</si>
  <si>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</si>
  <si>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</si>
  <si>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</si>
  <si>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</si>
  <si>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</si>
  <si>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</si>
  <si>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</si>
  <si>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</si>
  <si>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</si>
  <si>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</si>
  <si>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</si>
  <si>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</si>
  <si>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</si>
  <si>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</si>
  <si>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</si>
  <si>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</si>
  <si>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</si>
  <si>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</si>
  <si>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</si>
  <si>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</si>
  <si>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</si>
  <si>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</si>
  <si>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</si>
  <si>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</si>
  <si>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</si>
  <si>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</si>
  <si>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</si>
  <si>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</si>
  <si>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</si>
  <si>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</si>
  <si>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</si>
  <si>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</si>
  <si>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</si>
  <si>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</si>
  <si>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</si>
  <si>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</si>
  <si>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</si>
  <si>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</si>
  <si>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</si>
  <si>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</si>
  <si>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</si>
  <si>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</si>
  <si>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</si>
  <si>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</si>
  <si>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</si>
  <si>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</si>
  <si>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</si>
  <si>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</si>
  <si>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</si>
  <si>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</si>
  <si>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</si>
  <si>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</si>
  <si>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</si>
  <si>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</si>
  <si>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</si>
  <si>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</si>
  <si>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</si>
  <si>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</si>
  <si>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</si>
  <si>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</si>
  <si>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</si>
  <si>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</si>
  <si>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</si>
  <si>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</si>
  <si>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</si>
  <si>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</si>
  <si>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</si>
  <si>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</si>
  <si>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</si>
  <si>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</si>
  <si>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</si>
  <si>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</si>
  <si>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</si>
  <si>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</si>
  <si>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</si>
  <si>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</si>
  <si>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</si>
  <si>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</si>
  <si>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</si>
  <si>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</si>
  <si>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</si>
  <si>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</si>
  <si>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</si>
  <si>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</si>
  <si>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</si>
  <si>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</si>
  <si>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</si>
  <si>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</si>
  <si>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</si>
  <si>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</si>
  <si>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</si>
  <si>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</si>
  <si>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</si>
  <si>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</si>
  <si>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</si>
  <si>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</si>
  <si>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</si>
  <si>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</si>
  <si>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</si>
  <si>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</si>
  <si>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</si>
  <si>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</si>
  <si>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</si>
  <si>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</si>
  <si>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</si>
  <si>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</si>
  <si>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</si>
  <si>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</si>
  <si>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</si>
  <si>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</si>
  <si>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</si>
  <si>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</si>
  <si>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</si>
  <si>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</si>
  <si>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</si>
  <si>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</si>
  <si>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</si>
  <si>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</si>
  <si>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</si>
  <si>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</si>
  <si>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</si>
  <si>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</si>
  <si>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</si>
  <si>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</si>
  <si>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</si>
  <si>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</si>
  <si>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</si>
  <si>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</si>
  <si>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</si>
  <si>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</si>
  <si>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</si>
  <si>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</si>
  <si>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</si>
  <si>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</si>
  <si>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</si>
  <si>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</si>
  <si>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</si>
  <si>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</si>
  <si>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</si>
  <si>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</si>
  <si>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</si>
  <si>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</si>
  <si>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</si>
  <si>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</si>
  <si>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</si>
  <si>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</si>
  <si>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</si>
  <si>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</si>
  <si>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</si>
  <si>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</si>
  <si>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</si>
  <si>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</si>
  <si>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</si>
  <si>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</si>
  <si>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</si>
  <si>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</si>
  <si>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</si>
  <si>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</si>
  <si>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</si>
  <si>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</si>
  <si>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</si>
  <si>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</si>
  <si>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</si>
  <si>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</si>
  <si>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</si>
  <si>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</si>
  <si>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</si>
  <si>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</si>
  <si>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</si>
  <si>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</si>
  <si>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</si>
  <si>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</si>
  <si>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</si>
  <si>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</si>
  <si>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</si>
  <si>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</si>
  <si>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</si>
  <si>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</si>
  <si>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</si>
  <si>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</si>
  <si>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</si>
  <si>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</si>
  <si>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</si>
  <si>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</si>
  <si>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</si>
  <si>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</si>
  <si>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</si>
  <si>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</si>
  <si>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</si>
  <si>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</si>
  <si>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</si>
  <si>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</si>
  <si>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</si>
  <si>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</si>
  <si>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</si>
  <si>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</si>
  <si>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</si>
  <si>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</si>
  <si>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</si>
  <si>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</si>
  <si>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</si>
  <si>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</si>
  <si>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</si>
  <si>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</si>
  <si>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</si>
  <si>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</si>
  <si>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</si>
  <si>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</si>
  <si>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</si>
  <si>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</si>
  <si>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</si>
  <si>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</si>
  <si>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</si>
  <si>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</si>
  <si>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</si>
  <si>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</si>
  <si>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</si>
  <si>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</si>
  <si>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</si>
  <si>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</si>
  <si>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</si>
  <si>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</si>
  <si>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</si>
  <si>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</si>
  <si>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</si>
  <si>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</si>
  <si>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</si>
  <si>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</si>
  <si>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</si>
  <si>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</si>
  <si>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</si>
  <si>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</si>
  <si>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</si>
  <si>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</si>
  <si>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</si>
  <si>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</si>
  <si>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</si>
  <si>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</si>
  <si>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</si>
  <si>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</si>
  <si>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</si>
  <si>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</si>
  <si>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</si>
  <si>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</si>
  <si>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</si>
  <si>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</si>
  <si>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</si>
  <si>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</si>
  <si>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</si>
  <si>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</si>
  <si>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</si>
  <si>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</si>
  <si>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</si>
  <si>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</si>
  <si>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</si>
  <si>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</si>
  <si>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</si>
  <si>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</si>
  <si>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</si>
  <si>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</si>
  <si>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</si>
  <si>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</si>
  <si>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</si>
  <si>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</si>
  <si>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</si>
  <si>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</si>
  <si>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</si>
  <si>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</si>
  <si>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</si>
  <si>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</si>
  <si>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</si>
  <si>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</si>
  <si>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</si>
  <si>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</si>
  <si>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</si>
  <si>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</si>
  <si>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</si>
  <si>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</si>
  <si>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</si>
  <si>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</si>
  <si>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</si>
  <si>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</si>
  <si>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</si>
  <si>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</si>
  <si>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</si>
  <si>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</si>
  <si>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</si>
  <si>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</si>
  <si>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</si>
  <si>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</si>
  <si>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</si>
  <si>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</si>
  <si>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</si>
  <si>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</si>
  <si>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</si>
  <si>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</si>
  <si>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</si>
  <si>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</si>
  <si>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</si>
  <si>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</si>
  <si>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</si>
  <si>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</si>
  <si>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</si>
  <si>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</si>
  <si>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</si>
  <si>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</si>
  <si>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</si>
  <si>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</si>
  <si>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</si>
  <si>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</si>
  <si>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</si>
  <si>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</si>
  <si>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</si>
  <si>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</si>
  <si>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</si>
  <si>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</si>
  <si>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</si>
  <si>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</si>
  <si>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</si>
  <si>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</si>
  <si>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</si>
  <si>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</si>
  <si>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</si>
  <si>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</si>
  <si>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</si>
  <si>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</si>
  <si>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</si>
  <si>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</si>
  <si>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</si>
  <si>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</si>
  <si>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</si>
  <si>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</si>
  <si>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</si>
  <si>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</si>
  <si>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</si>
  <si>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</si>
  <si>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</si>
  <si>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</si>
  <si>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</si>
  <si>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</si>
  <si>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</si>
  <si>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</si>
  <si>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</si>
  <si>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</si>
  <si>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</si>
  <si>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</si>
  <si>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</si>
  <si>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</si>
  <si>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</si>
  <si>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</si>
  <si>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</si>
  <si>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</si>
  <si>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</si>
  <si>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</si>
  <si>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</si>
  <si>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</si>
  <si>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</si>
  <si>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</si>
  <si>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</si>
  <si>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</si>
  <si>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</si>
  <si>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</si>
  <si>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</si>
  <si>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</si>
  <si>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</si>
  <si>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</si>
  <si>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</si>
  <si>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</si>
  <si>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</si>
  <si>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</si>
  <si>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</si>
  <si>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</si>
  <si>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</si>
  <si>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</si>
  <si>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</si>
  <si>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</si>
  <si>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</si>
  <si>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</si>
  <si>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</si>
  <si>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</si>
  <si>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</si>
  <si>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</si>
  <si>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</si>
  <si>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</si>
  <si>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</si>
  <si>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</si>
  <si>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</si>
  <si>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</si>
  <si>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</si>
  <si>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</si>
  <si>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</si>
  <si>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</si>
  <si>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</si>
  <si>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</si>
  <si>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</si>
  <si>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</si>
  <si>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</si>
  <si>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</si>
  <si>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</si>
  <si>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</si>
  <si>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</si>
  <si>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</si>
  <si>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</si>
  <si>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</si>
  <si>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</si>
  <si>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</si>
  <si>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</si>
  <si>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</si>
  <si>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</si>
  <si>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</si>
  <si>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</si>
  <si>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</si>
  <si>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</si>
  <si>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</si>
  <si>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</si>
  <si>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</si>
  <si>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</si>
  <si>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</si>
  <si>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</si>
  <si>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</si>
  <si>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</si>
  <si>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</si>
  <si>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</si>
  <si>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</si>
  <si>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</si>
  <si>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</si>
  <si>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</si>
  <si>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</si>
  <si>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</si>
  <si>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</si>
  <si>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</si>
  <si>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</si>
  <si>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</si>
  <si>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</si>
  <si>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</si>
  <si>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</si>
  <si>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</si>
  <si>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</si>
  <si>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</si>
  <si>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</si>
  <si>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</si>
  <si>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</si>
  <si>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</si>
  <si>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</si>
  <si>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</si>
  <si>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</si>
  <si>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</si>
  <si>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</si>
  <si>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</si>
  <si>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</si>
  <si>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</si>
  <si>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</si>
  <si>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</si>
  <si>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</si>
  <si>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</si>
  <si>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</si>
  <si>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</si>
  <si>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</si>
  <si>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</si>
  <si>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</si>
  <si>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</si>
  <si>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</si>
  <si>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</si>
  <si>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</si>
  <si>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</si>
  <si>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</si>
  <si>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</si>
  <si>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</si>
  <si>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</si>
  <si>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</si>
  <si>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</si>
  <si>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</si>
  <si>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</si>
  <si>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</si>
  <si>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</si>
  <si>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</si>
  <si>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</si>
  <si>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</si>
  <si>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</si>
  <si>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</si>
  <si>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</si>
  <si>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</si>
  <si>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</si>
  <si>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</si>
  <si>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</si>
  <si>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</si>
  <si>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</si>
  <si>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</si>
  <si>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</si>
  <si>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</si>
  <si>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</si>
  <si>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</si>
  <si>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</si>
  <si>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</si>
  <si>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</si>
  <si>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</si>
  <si>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</si>
  <si>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</si>
  <si>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</si>
  <si>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</si>
  <si>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</si>
  <si>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</si>
  <si>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</si>
  <si>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</si>
  <si>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</si>
  <si>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</si>
  <si>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</si>
  <si>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</si>
  <si>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</si>
  <si>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</si>
  <si>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</si>
  <si>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</si>
  <si>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</si>
  <si>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</si>
  <si>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</si>
  <si>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</si>
  <si>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</si>
  <si>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</si>
  <si>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</si>
  <si>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</si>
  <si>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</si>
  <si>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</si>
  <si>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</si>
  <si>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</si>
  <si>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</si>
  <si>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</si>
  <si>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</si>
  <si>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</si>
  <si>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</si>
  <si>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</si>
  <si>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</si>
  <si>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</si>
  <si>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</si>
  <si>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</si>
  <si>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</si>
  <si>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</si>
  <si>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</si>
  <si>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</si>
  <si>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</si>
  <si>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</si>
  <si>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</si>
  <si>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</si>
  <si>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</si>
  <si>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</si>
  <si>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</si>
  <si>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</si>
  <si>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</si>
  <si>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</si>
  <si>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</si>
  <si>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</si>
  <si>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</si>
  <si>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</si>
  <si>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</si>
  <si>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</si>
  <si>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</si>
  <si>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</si>
  <si>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</si>
  <si>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</si>
  <si>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</si>
  <si>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</si>
  <si>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</si>
  <si>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</si>
  <si>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</si>
  <si>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</si>
  <si>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</si>
  <si>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</si>
  <si>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</si>
  <si>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</si>
  <si>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</si>
  <si>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</si>
  <si>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</si>
  <si>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</si>
  <si>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</si>
  <si>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</si>
  <si>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</si>
  <si>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</si>
  <si>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</si>
  <si>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</si>
  <si>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</si>
  <si>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</si>
  <si>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</si>
  <si>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</si>
  <si>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</si>
  <si>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</si>
  <si>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</si>
  <si>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</si>
  <si>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</si>
  <si>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</si>
  <si>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</si>
  <si>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</si>
  <si>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</si>
  <si>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</si>
  <si>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</si>
  <si>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</si>
  <si>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</si>
  <si>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</si>
  <si>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</si>
  <si>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</si>
  <si>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</si>
  <si>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</si>
  <si>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</si>
  <si>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</si>
  <si>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</si>
  <si>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</si>
  <si>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</si>
  <si>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</si>
  <si>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</si>
  <si>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</si>
  <si>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</si>
  <si>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</si>
  <si>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</si>
  <si>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</si>
  <si>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</si>
  <si>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</si>
  <si>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</si>
  <si>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</si>
  <si>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</si>
  <si>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</si>
  <si>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</si>
  <si>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</si>
  <si>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</si>
  <si>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</si>
  <si>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</si>
  <si>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</si>
  <si>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</si>
  <si>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</si>
  <si>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</si>
  <si>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</si>
  <si>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</si>
  <si>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</si>
  <si>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</si>
  <si>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</si>
  <si>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</si>
  <si>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</si>
  <si>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</si>
  <si>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</si>
  <si>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</si>
  <si>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</si>
  <si>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</si>
  <si>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</si>
  <si>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</si>
  <si>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</si>
  <si>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</si>
  <si>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</si>
  <si>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</si>
  <si>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</si>
  <si>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</si>
  <si>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</si>
  <si>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</si>
  <si>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</si>
  <si>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</si>
  <si>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</si>
  <si>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</si>
  <si>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</si>
  <si>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</si>
  <si>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</si>
  <si>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</si>
  <si>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</si>
  <si>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</si>
  <si>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</si>
  <si>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</si>
  <si>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</si>
  <si>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</si>
  <si>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</si>
  <si>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</si>
  <si>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</si>
  <si>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</si>
  <si>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</si>
  <si>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</si>
  <si>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</si>
  <si>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</si>
  <si>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</si>
  <si>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</si>
  <si>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</si>
  <si>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</si>
  <si>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</si>
  <si>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</si>
  <si>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</si>
  <si>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</si>
  <si>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</si>
  <si>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</si>
  <si>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</si>
  <si>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</si>
  <si>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</si>
  <si>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</si>
  <si>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</si>
  <si>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</si>
  <si>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</si>
  <si>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</si>
  <si>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</si>
  <si>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</si>
  <si>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</si>
  <si>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</si>
  <si>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</si>
  <si>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</si>
  <si>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</si>
  <si>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</si>
  <si>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</si>
  <si>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</si>
  <si>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</si>
  <si>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</si>
  <si>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</si>
  <si>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</si>
  <si>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</si>
  <si>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</si>
  <si>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</si>
  <si>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</si>
  <si>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</si>
  <si>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</si>
  <si>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</si>
  <si>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</si>
  <si>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</si>
  <si>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</si>
  <si>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</si>
  <si>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</si>
  <si>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</si>
  <si>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</si>
  <si>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</si>
  <si>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</si>
  <si>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</si>
  <si>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</si>
  <si>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</si>
  <si>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</si>
  <si>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</si>
  <si>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</si>
  <si>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</si>
  <si>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</si>
  <si>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</si>
  <si>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</si>
  <si>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</si>
  <si>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</si>
  <si>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</si>
  <si>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</si>
  <si>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</si>
  <si>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</si>
  <si>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</si>
  <si>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</si>
  <si>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</si>
  <si>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</si>
  <si>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</si>
  <si>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</si>
  <si>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</si>
  <si>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</si>
  <si>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</si>
  <si>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</si>
  <si>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</si>
  <si>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</si>
  <si>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</si>
  <si>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</si>
  <si>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</si>
  <si>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</si>
  <si>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</si>
  <si>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</si>
  <si>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</si>
  <si>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</si>
  <si>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</si>
  <si>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</si>
  <si>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</si>
  <si>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</si>
  <si>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</si>
  <si>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</si>
  <si>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</si>
  <si>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</si>
  <si>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</si>
  <si>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</si>
  <si>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</si>
  <si>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</si>
  <si>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</si>
  <si>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</si>
  <si>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</si>
  <si>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</si>
  <si>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</si>
  <si>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</si>
  <si>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</si>
  <si>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</si>
  <si>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</si>
  <si>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</si>
  <si>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</si>
  <si>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</si>
  <si>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</si>
  <si>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</si>
  <si>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</si>
  <si>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</si>
  <si>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</si>
  <si>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</si>
  <si>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</si>
  <si>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</si>
  <si>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</si>
  <si>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</si>
  <si>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</si>
  <si>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</si>
  <si>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</si>
  <si>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</si>
  <si>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</si>
  <si>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</si>
  <si>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</si>
  <si>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</si>
  <si>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</si>
  <si>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</si>
  <si>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</si>
  <si>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</si>
  <si>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</si>
  <si>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</si>
  <si>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</si>
  <si>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</si>
  <si>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</si>
  <si>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</si>
  <si>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</si>
  <si>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</si>
  <si>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</si>
  <si>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</si>
  <si>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</si>
  <si>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</si>
  <si>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</si>
  <si>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</si>
  <si>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</si>
  <si>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</si>
  <si>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</si>
  <si>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</si>
  <si>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</si>
  <si>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</si>
  <si>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</si>
  <si>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</si>
  <si>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</si>
  <si>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</si>
  <si>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</si>
  <si>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</si>
  <si>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</si>
  <si>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</si>
  <si>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</si>
  <si>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</si>
  <si>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</si>
  <si>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</si>
  <si>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</si>
  <si>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</si>
  <si>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</si>
  <si>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</si>
  <si>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</si>
  <si>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</si>
  <si>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</si>
  <si>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</si>
  <si>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</si>
  <si>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</si>
  <si>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</si>
  <si>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</si>
  <si>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</si>
  <si>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</si>
  <si>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</si>
  <si>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</si>
  <si>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</si>
  <si>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</si>
  <si>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</si>
  <si>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</si>
  <si>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</si>
  <si>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</si>
  <si>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</si>
  <si>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</si>
  <si>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</si>
  <si>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</si>
  <si>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</si>
  <si>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</si>
  <si>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</si>
  <si>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</si>
  <si>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</si>
  <si>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</si>
  <si>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</si>
  <si>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</si>
  <si>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</si>
  <si>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</si>
  <si>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</si>
  <si>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</si>
  <si>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</si>
  <si>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</si>
  <si>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</si>
  <si>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</si>
  <si>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</si>
  <si>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</si>
  <si>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</si>
  <si>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</si>
  <si>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</si>
  <si>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</si>
  <si>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</si>
  <si>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</si>
  <si>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</si>
  <si>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</si>
  <si>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</si>
  <si>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</si>
  <si>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</si>
  <si>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</si>
  <si>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</si>
  <si>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</si>
  <si>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</si>
  <si>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</si>
  <si>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</si>
  <si>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</si>
  <si>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</si>
  <si>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</si>
  <si>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</si>
  <si>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</si>
  <si>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</si>
  <si>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</si>
  <si>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</si>
  <si>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</si>
  <si>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</si>
  <si>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</si>
  <si>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</si>
  <si>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</si>
  <si>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</si>
  <si>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</si>
  <si>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</si>
  <si>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</si>
  <si>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</si>
  <si>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</si>
  <si>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</si>
  <si>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38438VELEUČILIŠTE MARKO MARULIĆ U KNINU</t>
  </si>
  <si>
    <t>10.09.2021.</t>
  </si>
  <si>
    <t>Nikifos Gugo</t>
  </si>
  <si>
    <t>racunovodstvo@veleknin.hr</t>
  </si>
  <si>
    <t>01.6.2020.</t>
  </si>
  <si>
    <t>31.05.2022.</t>
  </si>
  <si>
    <t>Agencija za mobilnost  i programe EU</t>
  </si>
  <si>
    <t>Mobilnost u svrhu učenja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</si>
</sst>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6" fillId="0" borderId="53" applyNumberFormat="0" applyFill="0" applyAlignment="0" applyProtection="0"/>
    <xf numFmtId="0" fontId="24" fillId="21" borderId="0"/>
    <xf numFmtId="4" fontId="71" fillId="6" borderId="54" applyNumberFormat="0" applyProtection="0">
      <alignment vertical="center"/>
    </xf>
    <xf numFmtId="4" fontId="72" fillId="6" borderId="54" applyNumberFormat="0" applyProtection="0">
      <alignment vertical="center"/>
    </xf>
    <xf numFmtId="4" fontId="71" fillId="6" borderId="54" applyNumberFormat="0" applyProtection="0">
      <alignment horizontal="left" vertical="center" indent="1"/>
    </xf>
    <xf numFmtId="4" fontId="71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1" fillId="57" borderId="54" applyNumberFormat="0" applyProtection="0">
      <alignment horizontal="right" vertical="center"/>
    </xf>
    <xf numFmtId="4" fontId="71" fillId="58" borderId="54" applyNumberFormat="0" applyProtection="0">
      <alignment horizontal="right" vertical="center"/>
    </xf>
    <xf numFmtId="4" fontId="71" fillId="59" borderId="54" applyNumberFormat="0" applyProtection="0">
      <alignment horizontal="right" vertical="center"/>
    </xf>
    <xf numFmtId="4" fontId="71" fillId="16" borderId="54" applyNumberFormat="0" applyProtection="0">
      <alignment horizontal="right" vertical="center"/>
    </xf>
    <xf numFmtId="4" fontId="71" fillId="60" borderId="54" applyNumberFormat="0" applyProtection="0">
      <alignment horizontal="right" vertical="center"/>
    </xf>
    <xf numFmtId="4" fontId="71" fillId="61" borderId="54" applyNumberFormat="0" applyProtection="0">
      <alignment horizontal="right" vertical="center"/>
    </xf>
    <xf numFmtId="4" fontId="71" fillId="62" borderId="54" applyNumberFormat="0" applyProtection="0">
      <alignment horizontal="right" vertical="center"/>
    </xf>
    <xf numFmtId="4" fontId="71" fillId="63" borderId="54" applyNumberFormat="0" applyProtection="0">
      <alignment horizontal="right" vertical="center"/>
    </xf>
    <xf numFmtId="4" fontId="71" fillId="64" borderId="54" applyNumberFormat="0" applyProtection="0">
      <alignment horizontal="right" vertical="center"/>
    </xf>
    <xf numFmtId="4" fontId="73" fillId="65" borderId="54" applyNumberFormat="0" applyProtection="0">
      <alignment horizontal="left" vertical="center" indent="1"/>
    </xf>
    <xf numFmtId="4" fontId="71" fillId="66" borderId="55" applyNumberFormat="0" applyProtection="0">
      <alignment horizontal="left" vertical="center" indent="1"/>
    </xf>
    <xf numFmtId="4" fontId="74" fillId="67" borderId="0" applyNumberFormat="0" applyProtection="0">
      <alignment horizontal="left" vertical="center" indent="1"/>
    </xf>
    <xf numFmtId="0" fontId="77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1" fillId="13" borderId="54" applyNumberFormat="0" applyProtection="0">
      <alignment vertical="center"/>
    </xf>
    <xf numFmtId="4" fontId="72" fillId="13" borderId="54" applyNumberFormat="0" applyProtection="0">
      <alignment vertical="center"/>
    </xf>
    <xf numFmtId="4" fontId="71" fillId="13" borderId="54" applyNumberFormat="0" applyProtection="0">
      <alignment horizontal="left" vertical="center" indent="1"/>
    </xf>
    <xf numFmtId="4" fontId="71" fillId="13" borderId="54" applyNumberFormat="0" applyProtection="0">
      <alignment horizontal="left" vertical="center" indent="1"/>
    </xf>
    <xf numFmtId="4" fontId="71" fillId="66" borderId="54" applyNumberFormat="0" applyProtection="0">
      <alignment horizontal="right" vertical="center"/>
    </xf>
    <xf numFmtId="4" fontId="72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6" fillId="0" borderId="0" applyNumberFormat="0" applyProtection="0"/>
    <xf numFmtId="4" fontId="75" fillId="66" borderId="54" applyNumberFormat="0" applyProtection="0">
      <alignment horizontal="right" vertical="center"/>
    </xf>
  </cellStyleXfs>
  <cellXfs count="288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1" fillId="12" borderId="5" xfId="2" applyNumberFormat="1" applyFont="1" applyFill="1" applyBorder="1" applyAlignment="1" applyProtection="1">
      <alignment horizontal="center" vertical="center" wrapText="1"/>
    </xf>
    <xf numFmtId="0" fontId="61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2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5" fillId="0" borderId="0" xfId="4" applyFont="1" applyAlignment="1" applyProtection="1"/>
    <xf numFmtId="0" fontId="66" fillId="56" borderId="53" xfId="76" applyNumberFormat="1" applyFill="1" applyAlignment="1">
      <alignment horizontal="left"/>
    </xf>
    <xf numFmtId="0" fontId="66" fillId="56" borderId="53" xfId="76" applyNumberFormat="1" applyFill="1" applyAlignment="1">
      <alignment horizontal="center"/>
    </xf>
    <xf numFmtId="49" fontId="67" fillId="56" borderId="53" xfId="76" applyNumberFormat="1" applyFont="1" applyFill="1" applyAlignment="1">
      <alignment horizontal="left"/>
    </xf>
    <xf numFmtId="0" fontId="68" fillId="0" borderId="0" xfId="0" applyFont="1"/>
    <xf numFmtId="0" fontId="68" fillId="0" borderId="0" xfId="0" applyFont="1" applyAlignment="1">
      <alignment horizontal="center"/>
    </xf>
    <xf numFmtId="0" fontId="6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2" fillId="0" borderId="0" xfId="0" applyFont="1" applyFill="1"/>
    <xf numFmtId="0" fontId="69" fillId="12" borderId="5" xfId="2" applyNumberFormat="1" applyFont="1" applyFill="1" applyBorder="1" applyAlignment="1" applyProtection="1">
      <alignment horizontal="center" vertical="center" wrapText="1"/>
    </xf>
    <xf numFmtId="0" fontId="69" fillId="12" borderId="5" xfId="2" applyFont="1" applyFill="1" applyBorder="1" applyAlignment="1" applyProtection="1">
      <alignment horizontal="center" vertical="center" wrapText="1"/>
    </xf>
    <xf numFmtId="0" fontId="70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79" fillId="0" borderId="54" xfId="102" quotePrefix="1" applyFont="1" applyFill="1" applyAlignment="1">
      <alignment horizontal="left" vertical="center" wrapText="1" indent="4"/>
    </xf>
    <xf numFmtId="0" fontId="79" fillId="0" borderId="54" xfId="102" quotePrefix="1" applyFont="1" applyFill="1">
      <alignment horizontal="left" vertical="center" wrapText="1" indent="1"/>
    </xf>
    <xf numFmtId="0" fontId="78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workbookViewId="0">
      <selection activeCell="C3" sqref="C3:E3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6"/>
    </row>
    <row r="2" spans="1:28"/>
    <row r="3" spans="1:28" ht="36.75" customHeight="1" thickBot="1">
      <c r="A3" s="151"/>
      <c r="B3" s="190" t="s">
        <v>351</v>
      </c>
      <c r="C3" s="262" t="s">
        <v>3498</v>
      </c>
      <c r="D3" s="263"/>
      <c r="E3" s="264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5" t="s">
        <v>3499</v>
      </c>
      <c r="D4" s="266"/>
      <c r="E4" s="267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5" t="s">
        <v>3500</v>
      </c>
      <c r="D5" s="266"/>
      <c r="E5" s="267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5">
        <v>22664454</v>
      </c>
      <c r="D6" s="266"/>
      <c r="E6" s="267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5" t="s">
        <v>3501</v>
      </c>
      <c r="D7" s="266"/>
      <c r="E7" s="267"/>
      <c r="F7" s="151"/>
      <c r="G7" s="151"/>
      <c r="H7" s="151"/>
      <c r="I7" s="151"/>
      <c r="J7" s="151"/>
      <c r="K7" s="217">
        <f t="shared" ref="K7:K70" si="0">+K6+1</f>
        <v>1</v>
      </c>
      <c r="L7" s="215" t="str">
        <f>M7&amp;""&amp;N7</f>
        <v xml:space="preserve">1222MINISTARSTVO ZNANOSTI I OBRAZOVANJA </v>
      </c>
      <c r="M7" s="215">
        <v>1222</v>
      </c>
      <c r="N7" s="218" t="s">
        <v>1955</v>
      </c>
      <c r="O7" s="219"/>
      <c r="P7" s="224" t="s">
        <v>369</v>
      </c>
      <c r="Q7" s="218" t="s">
        <v>370</v>
      </c>
      <c r="R7" s="216">
        <v>3271030</v>
      </c>
      <c r="S7" s="212" t="s">
        <v>1956</v>
      </c>
      <c r="T7" s="213" t="s">
        <v>1352</v>
      </c>
      <c r="U7" s="214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7">
        <f t="shared" si="0"/>
        <v>2</v>
      </c>
      <c r="L8" s="215" t="str">
        <f t="shared" ref="L8:L71" si="1">M8&amp;""&amp;N8</f>
        <v>2063FAKULTET ORGANIZACIJE I INFORMATIKE U VARAŽDINU</v>
      </c>
      <c r="M8" s="215">
        <v>2063</v>
      </c>
      <c r="N8" s="218" t="s">
        <v>583</v>
      </c>
      <c r="O8" s="219" t="s">
        <v>492</v>
      </c>
      <c r="P8" s="218" t="s">
        <v>584</v>
      </c>
      <c r="Q8" s="218" t="s">
        <v>540</v>
      </c>
      <c r="R8" s="216">
        <v>3006107</v>
      </c>
      <c r="S8" s="212" t="s">
        <v>585</v>
      </c>
      <c r="T8" s="213" t="s">
        <v>49</v>
      </c>
      <c r="U8" s="214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1" t="s">
        <v>1983</v>
      </c>
      <c r="C9" s="260"/>
      <c r="D9" s="260"/>
      <c r="E9" s="260"/>
      <c r="F9" s="151"/>
      <c r="G9" s="151"/>
      <c r="H9" s="151"/>
      <c r="I9" s="151"/>
      <c r="J9" s="151"/>
      <c r="K9" s="217">
        <f t="shared" si="0"/>
        <v>3</v>
      </c>
      <c r="L9" s="215" t="str">
        <f t="shared" si="1"/>
        <v>43749MEĐIMURSKO VELEUČILIŠTE U ČAKOVCU</v>
      </c>
      <c r="M9" s="215">
        <v>43749</v>
      </c>
      <c r="N9" s="218" t="s">
        <v>586</v>
      </c>
      <c r="O9" s="219" t="s">
        <v>587</v>
      </c>
      <c r="P9" s="218" t="s">
        <v>588</v>
      </c>
      <c r="Q9" s="218" t="s">
        <v>589</v>
      </c>
      <c r="R9" s="216">
        <v>2382512</v>
      </c>
      <c r="S9" s="212" t="s">
        <v>590</v>
      </c>
      <c r="T9" s="213" t="s">
        <v>49</v>
      </c>
      <c r="U9" s="214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1" t="s">
        <v>3</v>
      </c>
      <c r="C10" s="260"/>
      <c r="D10" s="260"/>
      <c r="E10" s="260"/>
      <c r="F10" s="151"/>
      <c r="G10" s="151"/>
      <c r="H10" s="151"/>
      <c r="I10" s="151"/>
      <c r="J10" s="151"/>
      <c r="K10" s="217">
        <f t="shared" si="0"/>
        <v>4</v>
      </c>
      <c r="L10" s="215" t="str">
        <f t="shared" si="1"/>
        <v>2452SVEUČILIŠTE J. J. STROSSMAYERA U OSIJEKU</v>
      </c>
      <c r="M10" s="215">
        <v>2452</v>
      </c>
      <c r="N10" s="218" t="s">
        <v>1957</v>
      </c>
      <c r="O10" s="225" t="s">
        <v>371</v>
      </c>
      <c r="P10" s="218" t="s">
        <v>372</v>
      </c>
      <c r="Q10" s="218" t="s">
        <v>373</v>
      </c>
      <c r="R10" s="216">
        <v>3049779</v>
      </c>
      <c r="S10" s="212" t="s">
        <v>374</v>
      </c>
      <c r="T10" s="213" t="s">
        <v>49</v>
      </c>
      <c r="U10" s="214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59"/>
      <c r="C11" s="260"/>
      <c r="D11" s="260"/>
      <c r="E11" s="260"/>
      <c r="F11" s="151"/>
      <c r="G11" s="151"/>
      <c r="H11" s="151"/>
      <c r="I11" s="151"/>
      <c r="J11" s="151"/>
      <c r="K11" s="217">
        <f t="shared" si="0"/>
        <v>5</v>
      </c>
      <c r="L11" s="215" t="str">
        <f t="shared" si="1"/>
        <v>50215SVEUČILIŠTE J. J. STROSSMAYERA U OSIJEKU - AKADEMIJA ZA UMJETNOST I KULTURU U OSIJEKU</v>
      </c>
      <c r="M11" s="215">
        <v>50215</v>
      </c>
      <c r="N11" s="218" t="s">
        <v>1958</v>
      </c>
      <c r="O11" s="225" t="s">
        <v>371</v>
      </c>
      <c r="P11" s="218" t="s">
        <v>398</v>
      </c>
      <c r="Q11" s="218" t="s">
        <v>373</v>
      </c>
      <c r="R11" s="216">
        <v>4907361</v>
      </c>
      <c r="S11" s="212" t="s">
        <v>1917</v>
      </c>
      <c r="T11" s="213" t="s">
        <v>49</v>
      </c>
      <c r="U11" s="214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7">
        <f t="shared" si="0"/>
        <v>6</v>
      </c>
      <c r="L12" s="215" t="str">
        <f t="shared" si="1"/>
        <v>2284SVEUČILIŠTE J. J. STROSSMAYERA U OSIJEKU - EKONOMSKI FAKULTET</v>
      </c>
      <c r="M12" s="215">
        <v>2284</v>
      </c>
      <c r="N12" s="218" t="s">
        <v>1959</v>
      </c>
      <c r="O12" s="225" t="s">
        <v>371</v>
      </c>
      <c r="P12" s="218" t="s">
        <v>375</v>
      </c>
      <c r="Q12" s="218" t="s">
        <v>373</v>
      </c>
      <c r="R12" s="216">
        <v>3021645</v>
      </c>
      <c r="S12" s="212" t="s">
        <v>376</v>
      </c>
      <c r="T12" s="213" t="s">
        <v>49</v>
      </c>
      <c r="U12" s="214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7">
        <f t="shared" si="0"/>
        <v>7</v>
      </c>
      <c r="L13" s="215" t="str">
        <f t="shared" si="1"/>
        <v>2268SVEUČILIŠTE J. J. STROSSMAYERA U OSIJEKU - FAKULTET AGROBIOTEHNIČKIH ZNANOSTI OSIJEK</v>
      </c>
      <c r="M13" s="215">
        <v>2268</v>
      </c>
      <c r="N13" s="218" t="s">
        <v>1960</v>
      </c>
      <c r="O13" s="225" t="s">
        <v>371</v>
      </c>
      <c r="P13" s="218" t="s">
        <v>386</v>
      </c>
      <c r="Q13" s="218" t="s">
        <v>373</v>
      </c>
      <c r="R13" s="216">
        <v>3058212</v>
      </c>
      <c r="S13" s="212" t="s">
        <v>387</v>
      </c>
      <c r="T13" s="213" t="s">
        <v>49</v>
      </c>
      <c r="U13" s="214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9758656</v>
      </c>
      <c r="D14" s="161">
        <f>+D15+D16</f>
        <v>9792113</v>
      </c>
      <c r="E14" s="161">
        <f>+E15+E16</f>
        <v>9838187</v>
      </c>
      <c r="F14" s="162"/>
      <c r="G14" s="151"/>
      <c r="H14" s="151"/>
      <c r="I14" s="151"/>
      <c r="J14" s="151"/>
      <c r="K14" s="217">
        <f t="shared" si="0"/>
        <v>8</v>
      </c>
      <c r="L14" s="215" t="str">
        <f t="shared" si="1"/>
        <v>2313SVEUČILIŠTE J. J. STROSSMAYERA U OSIJEKU - FAKULTET ELEKTROTEHNIKE, RAČUNARSTVA I INFORMACIJSKIH TEHNOLOGIJA OSIJEK</v>
      </c>
      <c r="M14" s="215">
        <v>2313</v>
      </c>
      <c r="N14" s="218" t="s">
        <v>1961</v>
      </c>
      <c r="O14" s="225" t="s">
        <v>371</v>
      </c>
      <c r="P14" s="218" t="s">
        <v>377</v>
      </c>
      <c r="Q14" s="218" t="s">
        <v>373</v>
      </c>
      <c r="R14" s="216">
        <v>3392589</v>
      </c>
      <c r="S14" s="212" t="s">
        <v>378</v>
      </c>
      <c r="T14" s="213" t="s">
        <v>49</v>
      </c>
      <c r="U14" s="214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9758656</v>
      </c>
      <c r="D15" s="164">
        <f>'PLAN PRIHODA I PRIMITAKA '!D67</f>
        <v>9792113</v>
      </c>
      <c r="E15" s="164">
        <f>'PLAN PRIHODA I PRIMITAKA '!D107</f>
        <v>9838187</v>
      </c>
      <c r="F15" s="151"/>
      <c r="G15" s="151"/>
      <c r="H15" s="151"/>
      <c r="I15" s="151"/>
      <c r="J15" s="151"/>
      <c r="K15" s="217">
        <f t="shared" si="0"/>
        <v>9</v>
      </c>
      <c r="L15" s="215" t="str">
        <f t="shared" si="1"/>
        <v>49796SVEUČILIŠTE J. J. STROSSMAYERA U OSIJEKU - FAKULTET ZA DENTALNU MEDICINU I ZDRAVSTVO</v>
      </c>
      <c r="M15" s="215">
        <v>49796</v>
      </c>
      <c r="N15" s="218" t="s">
        <v>1962</v>
      </c>
      <c r="O15" s="225" t="s">
        <v>371</v>
      </c>
      <c r="P15" s="218" t="s">
        <v>396</v>
      </c>
      <c r="Q15" s="218" t="s">
        <v>373</v>
      </c>
      <c r="R15" s="216">
        <v>4748875</v>
      </c>
      <c r="S15" s="212" t="s">
        <v>397</v>
      </c>
      <c r="T15" s="213" t="s">
        <v>49</v>
      </c>
      <c r="U15" s="214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7">
        <f t="shared" si="0"/>
        <v>10</v>
      </c>
      <c r="L16" s="215" t="str">
        <f t="shared" si="1"/>
        <v>22486SVEUČILIŠTE J. J. STROSSMAYERA U OSIJEKU - FAKULTET ZA ODGOJNE I OBRAZOVNE ZNANOSTI</v>
      </c>
      <c r="M16" s="215">
        <v>22486</v>
      </c>
      <c r="N16" s="218" t="s">
        <v>1963</v>
      </c>
      <c r="O16" s="225" t="s">
        <v>371</v>
      </c>
      <c r="P16" s="218" t="s">
        <v>391</v>
      </c>
      <c r="Q16" s="218" t="s">
        <v>373</v>
      </c>
      <c r="R16" s="216">
        <v>1404881</v>
      </c>
      <c r="S16" s="212" t="s">
        <v>392</v>
      </c>
      <c r="T16" s="213" t="s">
        <v>49</v>
      </c>
      <c r="U16" s="214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10808206</v>
      </c>
      <c r="D17" s="168">
        <f>+D18+D19</f>
        <v>10807113</v>
      </c>
      <c r="E17" s="168">
        <f>+E18+E19</f>
        <v>10853187</v>
      </c>
      <c r="F17" s="151"/>
      <c r="G17" s="151"/>
      <c r="H17" s="151"/>
      <c r="I17" s="151"/>
      <c r="J17" s="151"/>
      <c r="K17" s="217">
        <f t="shared" si="0"/>
        <v>11</v>
      </c>
      <c r="L17" s="215" t="str">
        <f t="shared" si="1"/>
        <v>2321SVEUČILIŠTE J. J. STROSSMAYERA U OSIJEKU - FILOZOFSKI FAKULTET</v>
      </c>
      <c r="M17" s="215">
        <v>2321</v>
      </c>
      <c r="N17" s="218" t="s">
        <v>1964</v>
      </c>
      <c r="O17" s="225" t="s">
        <v>371</v>
      </c>
      <c r="P17" s="218" t="s">
        <v>379</v>
      </c>
      <c r="Q17" s="218" t="s">
        <v>373</v>
      </c>
      <c r="R17" s="216">
        <v>3014185</v>
      </c>
      <c r="S17" s="212" t="s">
        <v>380</v>
      </c>
      <c r="T17" s="213" t="s">
        <v>49</v>
      </c>
      <c r="U17" s="214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10263206</v>
      </c>
      <c r="D18" s="170">
        <f>'PLAN RASHODA I IZDATAKA'!D72</f>
        <v>10052113</v>
      </c>
      <c r="E18" s="170">
        <f>'PLAN RASHODA I IZDATAKA'!D92</f>
        <v>10088187</v>
      </c>
      <c r="F18" s="151"/>
      <c r="G18" s="151"/>
      <c r="H18" s="151"/>
      <c r="I18" s="151"/>
      <c r="J18" s="151"/>
      <c r="K18" s="217">
        <f t="shared" si="0"/>
        <v>12</v>
      </c>
      <c r="L18" s="215" t="str">
        <f t="shared" si="1"/>
        <v>2508SVEUČILIŠTE J. J. STROSSMAYERA U OSIJEKU - GRADSKA I SVEUČILIŠNA KNJIŽNICA</v>
      </c>
      <c r="M18" s="215">
        <v>2508</v>
      </c>
      <c r="N18" s="218" t="s">
        <v>1965</v>
      </c>
      <c r="O18" s="225" t="s">
        <v>371</v>
      </c>
      <c r="P18" s="218" t="s">
        <v>381</v>
      </c>
      <c r="Q18" s="218" t="s">
        <v>373</v>
      </c>
      <c r="R18" s="216">
        <v>3014347</v>
      </c>
      <c r="S18" s="212" t="s">
        <v>382</v>
      </c>
      <c r="T18" s="213" t="s">
        <v>49</v>
      </c>
      <c r="U18" s="214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545000</v>
      </c>
      <c r="D19" s="170">
        <f>'PLAN RASHODA I IZDATAKA'!D80</f>
        <v>755000</v>
      </c>
      <c r="E19" s="170">
        <f>'PLAN RASHODA I IZDATAKA'!D100</f>
        <v>765000</v>
      </c>
      <c r="F19" s="151"/>
      <c r="G19" s="151"/>
      <c r="H19" s="151"/>
      <c r="I19" s="151"/>
      <c r="J19" s="151"/>
      <c r="K19" s="217">
        <f t="shared" si="0"/>
        <v>13</v>
      </c>
      <c r="L19" s="215" t="str">
        <f t="shared" si="1"/>
        <v>2250SVEUČILIŠTE J. J. STROSSMAYERA U OSIJEKU - GRAĐEVINSKI I ARHITEKTONSKI FAKULTET OSIJEK</v>
      </c>
      <c r="M19" s="215">
        <v>2250</v>
      </c>
      <c r="N19" s="218" t="s">
        <v>1966</v>
      </c>
      <c r="O19" s="225" t="s">
        <v>371</v>
      </c>
      <c r="P19" s="218" t="s">
        <v>1916</v>
      </c>
      <c r="Q19" s="218" t="s">
        <v>373</v>
      </c>
      <c r="R19" s="216">
        <v>3397335</v>
      </c>
      <c r="S19" s="212" t="s">
        <v>383</v>
      </c>
      <c r="T19" s="213" t="s">
        <v>49</v>
      </c>
      <c r="U19" s="214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-1049550</v>
      </c>
      <c r="D20" s="161">
        <f>+D14-D17</f>
        <v>-1015000</v>
      </c>
      <c r="E20" s="161">
        <f>+E14-E17</f>
        <v>-1015000</v>
      </c>
      <c r="F20" s="151"/>
      <c r="G20" s="151"/>
      <c r="H20" s="151"/>
      <c r="I20" s="151"/>
      <c r="J20" s="151"/>
      <c r="K20" s="217">
        <f t="shared" si="0"/>
        <v>14</v>
      </c>
      <c r="L20" s="215" t="str">
        <f t="shared" si="1"/>
        <v>38479SVEUČILIŠTE J. J. STROSSMAYERA U OSIJEKU - KATOLIČKI BOGOSLOVNI FAKULTET U ĐAKOVU</v>
      </c>
      <c r="M20" s="215">
        <v>38479</v>
      </c>
      <c r="N20" s="218" t="s">
        <v>1967</v>
      </c>
      <c r="O20" s="225" t="s">
        <v>371</v>
      </c>
      <c r="P20" s="218" t="s">
        <v>393</v>
      </c>
      <c r="Q20" s="218" t="s">
        <v>394</v>
      </c>
      <c r="R20" s="216">
        <v>1986490</v>
      </c>
      <c r="S20" s="212" t="s">
        <v>395</v>
      </c>
      <c r="T20" s="213" t="s">
        <v>49</v>
      </c>
      <c r="U20" s="214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59"/>
      <c r="C21" s="260"/>
      <c r="D21" s="260"/>
      <c r="E21" s="260"/>
      <c r="F21" s="151"/>
      <c r="G21" s="151"/>
      <c r="H21" s="151"/>
      <c r="I21" s="151"/>
      <c r="J21" s="151"/>
      <c r="K21" s="217">
        <f t="shared" si="0"/>
        <v>15</v>
      </c>
      <c r="L21" s="215" t="str">
        <f t="shared" si="1"/>
        <v>51450SVEUČILIŠTE J. J. STROSSMAYERA U OSIJEKU - KINEZIOLOŠKI FAKULTET OSIJEK</v>
      </c>
      <c r="M21" s="215">
        <v>51450</v>
      </c>
      <c r="N21" s="218" t="s">
        <v>1968</v>
      </c>
      <c r="O21" s="225" t="s">
        <v>371</v>
      </c>
      <c r="P21" s="218" t="s">
        <v>1969</v>
      </c>
      <c r="Q21" s="218" t="s">
        <v>373</v>
      </c>
      <c r="R21" s="216">
        <v>5302099</v>
      </c>
      <c r="S21" s="212" t="s">
        <v>1970</v>
      </c>
      <c r="T21" s="213" t="s">
        <v>49</v>
      </c>
      <c r="U21" s="214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7">
        <f t="shared" si="0"/>
        <v>16</v>
      </c>
      <c r="L22" s="215" t="str">
        <f t="shared" si="1"/>
        <v>22849SVEUČILIŠTE J. J. STROSSMAYERA U OSIJEKU - MEDICINSKI FAKULTET</v>
      </c>
      <c r="M22" s="215">
        <v>22849</v>
      </c>
      <c r="N22" s="218" t="s">
        <v>1971</v>
      </c>
      <c r="O22" s="225" t="s">
        <v>371</v>
      </c>
      <c r="P22" s="218" t="s">
        <v>384</v>
      </c>
      <c r="Q22" s="218" t="s">
        <v>373</v>
      </c>
      <c r="R22" s="216">
        <v>1388142</v>
      </c>
      <c r="S22" s="212" t="s">
        <v>385</v>
      </c>
      <c r="T22" s="213" t="s">
        <v>49</v>
      </c>
      <c r="U22" s="214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3934550</v>
      </c>
      <c r="D23" s="169">
        <f>'PLAN PRIHODA I PRIMITAKA '!D45</f>
        <v>2885000</v>
      </c>
      <c r="E23" s="169">
        <f>'PLAN PRIHODA I PRIMITAKA '!D85</f>
        <v>1870000</v>
      </c>
      <c r="F23" s="151"/>
      <c r="G23" s="151"/>
      <c r="H23" s="172"/>
      <c r="I23" s="151"/>
      <c r="J23" s="151"/>
      <c r="K23" s="217">
        <f t="shared" si="0"/>
        <v>17</v>
      </c>
      <c r="L23" s="215" t="str">
        <f t="shared" si="1"/>
        <v>2292SVEUČILIŠTE J. J. STROSSMAYERA U OSIJEKU - PRAVNI FAKULTET</v>
      </c>
      <c r="M23" s="215">
        <v>2292</v>
      </c>
      <c r="N23" s="218" t="s">
        <v>1972</v>
      </c>
      <c r="O23" s="225" t="s">
        <v>371</v>
      </c>
      <c r="P23" s="218" t="s">
        <v>388</v>
      </c>
      <c r="Q23" s="218" t="s">
        <v>373</v>
      </c>
      <c r="R23" s="216">
        <v>3014193</v>
      </c>
      <c r="S23" s="212" t="s">
        <v>389</v>
      </c>
      <c r="T23" s="213" t="s">
        <v>49</v>
      </c>
      <c r="U23" s="214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-2885000</v>
      </c>
      <c r="D24" s="173">
        <f>'PLAN PRIHODA I PRIMITAKA '!D47</f>
        <v>-1870000</v>
      </c>
      <c r="E24" s="174">
        <f>'PLAN PRIHODA I PRIMITAKA '!D87</f>
        <v>-855000</v>
      </c>
      <c r="F24" s="151"/>
      <c r="G24" s="151"/>
      <c r="H24" s="172"/>
      <c r="I24" s="151"/>
      <c r="J24" s="151"/>
      <c r="K24" s="217">
        <f t="shared" si="0"/>
        <v>18</v>
      </c>
      <c r="L24" s="215" t="str">
        <f t="shared" si="1"/>
        <v>2276SVEUČILIŠTE J. J. STROSSMAYERA U OSIJEKU - PREHRAMBENO TEHNOLOŠKI FAKULTET</v>
      </c>
      <c r="M24" s="215">
        <v>2276</v>
      </c>
      <c r="N24" s="218" t="s">
        <v>1973</v>
      </c>
      <c r="O24" s="225" t="s">
        <v>371</v>
      </c>
      <c r="P24" s="218" t="s">
        <v>1974</v>
      </c>
      <c r="Q24" s="218" t="s">
        <v>373</v>
      </c>
      <c r="R24" s="216">
        <v>3058204</v>
      </c>
      <c r="S24" s="212" t="s">
        <v>390</v>
      </c>
      <c r="T24" s="213" t="s">
        <v>49</v>
      </c>
      <c r="U24" s="214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59"/>
      <c r="C25" s="260"/>
      <c r="D25" s="260"/>
      <c r="E25" s="260"/>
      <c r="F25" s="151"/>
      <c r="G25" s="151"/>
      <c r="H25" s="151"/>
      <c r="I25" s="151"/>
      <c r="J25" s="151"/>
      <c r="K25" s="217">
        <f t="shared" si="0"/>
        <v>19</v>
      </c>
      <c r="L25" s="215" t="str">
        <f t="shared" si="1"/>
        <v>42024SVEUČILIŠTE JURJA DOBRILE U PULI</v>
      </c>
      <c r="M25" s="215">
        <v>42024</v>
      </c>
      <c r="N25" s="218" t="s">
        <v>399</v>
      </c>
      <c r="O25" s="219" t="s">
        <v>1987</v>
      </c>
      <c r="P25" s="218" t="s">
        <v>400</v>
      </c>
      <c r="Q25" s="218" t="s">
        <v>401</v>
      </c>
      <c r="R25" s="216">
        <v>2161753</v>
      </c>
      <c r="S25" s="212" t="s">
        <v>402</v>
      </c>
      <c r="T25" s="213" t="s">
        <v>49</v>
      </c>
      <c r="U25" s="214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7">
        <f t="shared" si="0"/>
        <v>20</v>
      </c>
      <c r="L26" s="215" t="str">
        <f t="shared" si="1"/>
        <v>48267SVEUČILIŠTE SJEVER</v>
      </c>
      <c r="M26" s="215">
        <v>48267</v>
      </c>
      <c r="N26" s="218" t="s">
        <v>403</v>
      </c>
      <c r="O26" s="219" t="s">
        <v>403</v>
      </c>
      <c r="P26" s="218" t="s">
        <v>1919</v>
      </c>
      <c r="Q26" s="218" t="s">
        <v>404</v>
      </c>
      <c r="R26" s="216">
        <v>2752298</v>
      </c>
      <c r="S26" s="212" t="s">
        <v>405</v>
      </c>
      <c r="T26" s="213" t="s">
        <v>49</v>
      </c>
      <c r="U26" s="214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7">
        <f t="shared" si="0"/>
        <v>21</v>
      </c>
      <c r="L27" s="215" t="str">
        <f t="shared" si="1"/>
        <v>24141SVEUČILIŠTE U DUBROVNIKU</v>
      </c>
      <c r="M27" s="215">
        <v>24141</v>
      </c>
      <c r="N27" s="218" t="s">
        <v>406</v>
      </c>
      <c r="O27" s="219" t="s">
        <v>406</v>
      </c>
      <c r="P27" s="218" t="s">
        <v>407</v>
      </c>
      <c r="Q27" s="218" t="s">
        <v>408</v>
      </c>
      <c r="R27" s="216">
        <v>1787578</v>
      </c>
      <c r="S27" s="212" t="s">
        <v>409</v>
      </c>
      <c r="T27" s="213" t="s">
        <v>49</v>
      </c>
      <c r="U27" s="214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7">
        <f t="shared" si="0"/>
        <v>22</v>
      </c>
      <c r="L28" s="215" t="str">
        <f t="shared" si="1"/>
        <v>2444SVEUČILIŠTE U RIJECI</v>
      </c>
      <c r="M28" s="215">
        <v>2444</v>
      </c>
      <c r="N28" s="218" t="s">
        <v>413</v>
      </c>
      <c r="O28" s="156" t="s">
        <v>413</v>
      </c>
      <c r="P28" s="218" t="s">
        <v>414</v>
      </c>
      <c r="Q28" s="218" t="s">
        <v>415</v>
      </c>
      <c r="R28" s="216">
        <v>3337413</v>
      </c>
      <c r="S28" s="212" t="s">
        <v>416</v>
      </c>
      <c r="T28" s="213" t="s">
        <v>49</v>
      </c>
      <c r="U28" s="214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7">
        <f t="shared" si="0"/>
        <v>23</v>
      </c>
      <c r="L29" s="215" t="str">
        <f t="shared" si="1"/>
        <v>38454SVEUČILIŠTE U RIJECI - AKADEMIJA PRIMJENJENIH UMJETNOSTI</v>
      </c>
      <c r="M29" s="215">
        <v>38454</v>
      </c>
      <c r="N29" s="218" t="s">
        <v>417</v>
      </c>
      <c r="O29" s="156" t="s">
        <v>413</v>
      </c>
      <c r="P29" s="218" t="s">
        <v>418</v>
      </c>
      <c r="Q29" s="218" t="s">
        <v>415</v>
      </c>
      <c r="R29" s="216">
        <v>1954253</v>
      </c>
      <c r="S29" s="212" t="s">
        <v>419</v>
      </c>
      <c r="T29" s="213" t="s">
        <v>49</v>
      </c>
      <c r="U29" s="214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59"/>
      <c r="C30" s="260"/>
      <c r="D30" s="260"/>
      <c r="E30" s="260"/>
      <c r="F30" s="151"/>
      <c r="G30" s="151"/>
      <c r="H30" s="151"/>
      <c r="I30" s="151"/>
      <c r="J30" s="151"/>
      <c r="K30" s="217">
        <f t="shared" si="0"/>
        <v>24</v>
      </c>
      <c r="L30" s="215" t="str">
        <f t="shared" si="1"/>
        <v>2186SVEUČILIŠTE U RIJECI - EKONOMSKI FAKULTET</v>
      </c>
      <c r="M30" s="215">
        <v>2186</v>
      </c>
      <c r="N30" s="218" t="s">
        <v>420</v>
      </c>
      <c r="O30" s="156" t="s">
        <v>413</v>
      </c>
      <c r="P30" s="218" t="s">
        <v>421</v>
      </c>
      <c r="Q30" s="218" t="s">
        <v>415</v>
      </c>
      <c r="R30" s="216">
        <v>3328627</v>
      </c>
      <c r="S30" s="212" t="s">
        <v>422</v>
      </c>
      <c r="T30" s="213" t="s">
        <v>49</v>
      </c>
      <c r="U30" s="214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7">
        <f t="shared" si="0"/>
        <v>25</v>
      </c>
      <c r="L31" s="215" t="str">
        <f t="shared" si="1"/>
        <v>2194SVEUČILIŠTE U RIJECI - FAKULTET ZA MENADŽMENT U TURIZMU I UGOSTITELJSTVU</v>
      </c>
      <c r="M31" s="215">
        <v>2194</v>
      </c>
      <c r="N31" s="218" t="s">
        <v>423</v>
      </c>
      <c r="O31" s="156" t="s">
        <v>413</v>
      </c>
      <c r="P31" s="218" t="s">
        <v>424</v>
      </c>
      <c r="Q31" s="218" t="s">
        <v>425</v>
      </c>
      <c r="R31" s="216">
        <v>3091732</v>
      </c>
      <c r="S31" s="212" t="s">
        <v>426</v>
      </c>
      <c r="T31" s="213" t="s">
        <v>49</v>
      </c>
      <c r="U31" s="214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7">
        <f t="shared" si="0"/>
        <v>26</v>
      </c>
      <c r="L32" s="215" t="str">
        <f t="shared" si="1"/>
        <v>48023SVEUČILIŠTE U RIJECI - FAKULTET ZDRAVSTVENIH STUDIJA U RIJECI</v>
      </c>
      <c r="M32" s="215">
        <v>48023</v>
      </c>
      <c r="N32" s="218" t="s">
        <v>450</v>
      </c>
      <c r="O32" s="156" t="s">
        <v>413</v>
      </c>
      <c r="P32" s="218" t="s">
        <v>451</v>
      </c>
      <c r="Q32" s="218" t="s">
        <v>415</v>
      </c>
      <c r="R32" s="216" t="s">
        <v>452</v>
      </c>
      <c r="S32" s="212" t="s">
        <v>453</v>
      </c>
      <c r="T32" s="213" t="s">
        <v>49</v>
      </c>
      <c r="U32" s="214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7">
        <f t="shared" si="0"/>
        <v>27</v>
      </c>
      <c r="L33" s="215" t="str">
        <f t="shared" si="1"/>
        <v>22857SVEUČILIŠTE U RIJECI - FILOZOFSKI FAKULTET</v>
      </c>
      <c r="M33" s="215">
        <v>22857</v>
      </c>
      <c r="N33" s="218" t="s">
        <v>427</v>
      </c>
      <c r="O33" s="156" t="s">
        <v>413</v>
      </c>
      <c r="P33" s="218" t="s">
        <v>428</v>
      </c>
      <c r="Q33" s="218" t="s">
        <v>415</v>
      </c>
      <c r="R33" s="216">
        <v>3368491</v>
      </c>
      <c r="S33" s="212" t="s">
        <v>429</v>
      </c>
      <c r="T33" s="213" t="s">
        <v>49</v>
      </c>
      <c r="U33" s="214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7">
        <f t="shared" si="0"/>
        <v>28</v>
      </c>
      <c r="L34" s="215" t="str">
        <f t="shared" si="1"/>
        <v>2160SVEUČILIŠTE U RIJECI - GRAĐEVINSKI FAKULTET</v>
      </c>
      <c r="M34" s="215">
        <v>2160</v>
      </c>
      <c r="N34" s="218" t="s">
        <v>1920</v>
      </c>
      <c r="O34" s="156" t="s">
        <v>413</v>
      </c>
      <c r="P34" s="218" t="s">
        <v>430</v>
      </c>
      <c r="Q34" s="218" t="s">
        <v>415</v>
      </c>
      <c r="R34" s="216">
        <v>3395855</v>
      </c>
      <c r="S34" s="212" t="s">
        <v>431</v>
      </c>
      <c r="T34" s="213" t="s">
        <v>49</v>
      </c>
      <c r="U34" s="214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7">
        <f t="shared" si="0"/>
        <v>29</v>
      </c>
      <c r="L35" s="215" t="str">
        <f t="shared" si="1"/>
        <v>2225SVEUČILIŠTE U RIJECI - MEDICINSKI FAKULTET</v>
      </c>
      <c r="M35" s="215">
        <v>2225</v>
      </c>
      <c r="N35" s="218" t="s">
        <v>432</v>
      </c>
      <c r="O35" s="156" t="s">
        <v>413</v>
      </c>
      <c r="P35" s="218" t="s">
        <v>433</v>
      </c>
      <c r="Q35" s="218" t="s">
        <v>415</v>
      </c>
      <c r="R35" s="216">
        <v>3328554</v>
      </c>
      <c r="S35" s="212" t="s">
        <v>434</v>
      </c>
      <c r="T35" s="213" t="s">
        <v>49</v>
      </c>
      <c r="U35" s="214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7">
        <f t="shared" si="0"/>
        <v>30</v>
      </c>
      <c r="L36" s="215" t="str">
        <f t="shared" si="1"/>
        <v>22568SVEUČILIŠTE U RIJECI - POMORSKI FAKULTET</v>
      </c>
      <c r="M36" s="215">
        <v>22568</v>
      </c>
      <c r="N36" s="218" t="s">
        <v>435</v>
      </c>
      <c r="O36" s="156" t="s">
        <v>413</v>
      </c>
      <c r="P36" s="218" t="s">
        <v>436</v>
      </c>
      <c r="Q36" s="218" t="s">
        <v>415</v>
      </c>
      <c r="R36" s="216">
        <v>1580485</v>
      </c>
      <c r="S36" s="212" t="s">
        <v>437</v>
      </c>
      <c r="T36" s="213" t="s">
        <v>49</v>
      </c>
      <c r="U36" s="214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7">
        <f t="shared" si="0"/>
        <v>31</v>
      </c>
      <c r="L37" s="215" t="str">
        <f t="shared" si="1"/>
        <v>2217SVEUČILIŠTE U RIJECI - PRAVNI FAKULTET</v>
      </c>
      <c r="M37" s="215">
        <v>2217</v>
      </c>
      <c r="N37" s="218" t="s">
        <v>438</v>
      </c>
      <c r="O37" s="156" t="s">
        <v>413</v>
      </c>
      <c r="P37" s="218" t="s">
        <v>439</v>
      </c>
      <c r="Q37" s="218" t="s">
        <v>415</v>
      </c>
      <c r="R37" s="216">
        <v>3328562</v>
      </c>
      <c r="S37" s="212" t="s">
        <v>440</v>
      </c>
      <c r="T37" s="213" t="s">
        <v>49</v>
      </c>
      <c r="U37" s="214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7">
        <f t="shared" si="0"/>
        <v>32</v>
      </c>
      <c r="L38" s="215" t="str">
        <f t="shared" si="1"/>
        <v>2493SVEUČILIŠTE U RIJECI - SVEUČILIŠNA KNJIŽNICA</v>
      </c>
      <c r="M38" s="215">
        <v>2493</v>
      </c>
      <c r="N38" s="218" t="s">
        <v>441</v>
      </c>
      <c r="O38" s="156" t="s">
        <v>413</v>
      </c>
      <c r="P38" s="218" t="s">
        <v>442</v>
      </c>
      <c r="Q38" s="218" t="s">
        <v>415</v>
      </c>
      <c r="R38" s="216">
        <v>3328686</v>
      </c>
      <c r="S38" s="212" t="s">
        <v>443</v>
      </c>
      <c r="T38" s="213" t="s">
        <v>49</v>
      </c>
      <c r="U38" s="214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7">
        <f t="shared" si="0"/>
        <v>33</v>
      </c>
      <c r="L39" s="215" t="str">
        <f t="shared" si="1"/>
        <v>2151SVEUČILIŠTE U RIJECI - TEHNIČKI FAKULTET</v>
      </c>
      <c r="M39" s="215">
        <v>2151</v>
      </c>
      <c r="N39" s="218" t="s">
        <v>444</v>
      </c>
      <c r="O39" s="156" t="s">
        <v>413</v>
      </c>
      <c r="P39" s="218" t="s">
        <v>445</v>
      </c>
      <c r="Q39" s="218" t="s">
        <v>415</v>
      </c>
      <c r="R39" s="216">
        <v>3334317</v>
      </c>
      <c r="S39" s="212" t="s">
        <v>446</v>
      </c>
      <c r="T39" s="213" t="s">
        <v>49</v>
      </c>
      <c r="U39" s="214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7">
        <f t="shared" si="0"/>
        <v>34</v>
      </c>
      <c r="L40" s="215" t="str">
        <f t="shared" si="1"/>
        <v>40947SVEUČILIŠTE U RIJECI - UČITELJSKI FAKULTET</v>
      </c>
      <c r="M40" s="215">
        <v>40947</v>
      </c>
      <c r="N40" s="218" t="s">
        <v>447</v>
      </c>
      <c r="O40" s="156" t="s">
        <v>413</v>
      </c>
      <c r="P40" s="218" t="s">
        <v>448</v>
      </c>
      <c r="Q40" s="218" t="s">
        <v>415</v>
      </c>
      <c r="R40" s="216">
        <v>2116073</v>
      </c>
      <c r="S40" s="212" t="s">
        <v>449</v>
      </c>
      <c r="T40" s="213" t="s">
        <v>49</v>
      </c>
      <c r="U40" s="214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7">
        <f t="shared" si="0"/>
        <v>35</v>
      </c>
      <c r="L41" s="215" t="str">
        <f t="shared" si="1"/>
        <v>51360SVEUČILIŠTE U SLAVONSKOM BRODU</v>
      </c>
      <c r="M41" s="215">
        <v>51360</v>
      </c>
      <c r="N41" s="218" t="s">
        <v>1918</v>
      </c>
      <c r="O41" s="225" t="s">
        <v>1918</v>
      </c>
      <c r="P41" s="218" t="s">
        <v>1975</v>
      </c>
      <c r="Q41" s="218" t="s">
        <v>1976</v>
      </c>
      <c r="R41" s="216">
        <v>5290538</v>
      </c>
      <c r="S41" s="212" t="s">
        <v>1977</v>
      </c>
      <c r="T41" s="213" t="s">
        <v>49</v>
      </c>
      <c r="U41" s="214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7">
        <f t="shared" si="0"/>
        <v>36</v>
      </c>
      <c r="L42" s="215" t="str">
        <f t="shared" si="1"/>
        <v>2469SVEUČILIŠTE U SPLITU</v>
      </c>
      <c r="M42" s="215">
        <v>2469</v>
      </c>
      <c r="N42" s="218" t="s">
        <v>454</v>
      </c>
      <c r="O42" s="219" t="s">
        <v>454</v>
      </c>
      <c r="P42" s="218" t="s">
        <v>464</v>
      </c>
      <c r="Q42" s="218" t="s">
        <v>455</v>
      </c>
      <c r="R42" s="216">
        <v>3129306</v>
      </c>
      <c r="S42" s="212" t="s">
        <v>456</v>
      </c>
      <c r="T42" s="213" t="s">
        <v>49</v>
      </c>
      <c r="U42" s="214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7">
        <f t="shared" si="0"/>
        <v>37</v>
      </c>
      <c r="L43" s="215" t="str">
        <f t="shared" si="1"/>
        <v>2372SVEUČILIŠTE U SPLITU - EKONOMSKI FAKULTET</v>
      </c>
      <c r="M43" s="215">
        <v>2372</v>
      </c>
      <c r="N43" s="218" t="s">
        <v>457</v>
      </c>
      <c r="O43" s="219" t="s">
        <v>454</v>
      </c>
      <c r="P43" s="218" t="s">
        <v>458</v>
      </c>
      <c r="Q43" s="218" t="s">
        <v>455</v>
      </c>
      <c r="R43" s="216">
        <v>3119076</v>
      </c>
      <c r="S43" s="212" t="s">
        <v>459</v>
      </c>
      <c r="T43" s="213" t="s">
        <v>49</v>
      </c>
      <c r="U43" s="214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7">
        <f t="shared" si="0"/>
        <v>38</v>
      </c>
      <c r="L44" s="215" t="str">
        <f t="shared" si="1"/>
        <v>2330SVEUČILIŠTE U SPLITU - FAKULTET ELEKTROTEHNIKE, STROJARSTVA I BRODOGRADNJE</v>
      </c>
      <c r="M44" s="215">
        <v>2330</v>
      </c>
      <c r="N44" s="218" t="s">
        <v>460</v>
      </c>
      <c r="O44" s="219" t="s">
        <v>454</v>
      </c>
      <c r="P44" s="218" t="s">
        <v>461</v>
      </c>
      <c r="Q44" s="218" t="s">
        <v>455</v>
      </c>
      <c r="R44" s="216">
        <v>3118339</v>
      </c>
      <c r="S44" s="212" t="s">
        <v>462</v>
      </c>
      <c r="T44" s="213" t="s">
        <v>49</v>
      </c>
      <c r="U44" s="214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7">
        <f t="shared" si="0"/>
        <v>39</v>
      </c>
      <c r="L45" s="215" t="str">
        <f t="shared" si="1"/>
        <v>2348SVEUČILIŠTE U SPLITU - FAKULTET GRAĐEVINARSTVA, ARHITEKTURE I GEODEZIJE</v>
      </c>
      <c r="M45" s="215">
        <v>2348</v>
      </c>
      <c r="N45" s="218" t="s">
        <v>466</v>
      </c>
      <c r="O45" s="219" t="s">
        <v>454</v>
      </c>
      <c r="P45" s="218" t="s">
        <v>467</v>
      </c>
      <c r="Q45" s="218" t="s">
        <v>455</v>
      </c>
      <c r="R45" s="216">
        <v>3149463</v>
      </c>
      <c r="S45" s="212" t="s">
        <v>468</v>
      </c>
      <c r="T45" s="213" t="s">
        <v>49</v>
      </c>
      <c r="U45" s="214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7">
        <f t="shared" si="0"/>
        <v>40</v>
      </c>
      <c r="L46" s="215" t="str">
        <f t="shared" si="1"/>
        <v>22435SVEUČILIŠTE U SPLITU - FILOZOFSKI FAKULTET</v>
      </c>
      <c r="M46" s="215">
        <v>22435</v>
      </c>
      <c r="N46" s="218" t="s">
        <v>463</v>
      </c>
      <c r="O46" s="219" t="s">
        <v>454</v>
      </c>
      <c r="P46" s="218" t="s">
        <v>464</v>
      </c>
      <c r="Q46" s="218" t="s">
        <v>455</v>
      </c>
      <c r="R46" s="216">
        <v>1413236</v>
      </c>
      <c r="S46" s="212" t="s">
        <v>465</v>
      </c>
      <c r="T46" s="213" t="s">
        <v>49</v>
      </c>
      <c r="U46" s="214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7">
        <f t="shared" si="0"/>
        <v>41</v>
      </c>
      <c r="L47" s="215" t="str">
        <f t="shared" si="1"/>
        <v>23368SVEUČILIŠTE U SPLITU - KATOLIČKI BOGOSLOVNI FAKULTET</v>
      </c>
      <c r="M47" s="215">
        <v>23368</v>
      </c>
      <c r="N47" s="218" t="s">
        <v>474</v>
      </c>
      <c r="O47" s="219" t="s">
        <v>454</v>
      </c>
      <c r="P47" s="218" t="s">
        <v>475</v>
      </c>
      <c r="Q47" s="218" t="s">
        <v>455</v>
      </c>
      <c r="R47" s="216">
        <v>1465643</v>
      </c>
      <c r="S47" s="212">
        <v>36149548625</v>
      </c>
      <c r="T47" s="213" t="s">
        <v>49</v>
      </c>
      <c r="U47" s="214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7">
        <f t="shared" si="0"/>
        <v>42</v>
      </c>
      <c r="L48" s="215" t="str">
        <f t="shared" si="1"/>
        <v>2356SVEUČILIŠTE U SPLITU - KEMIJSKO-TEHNOLOŠKI FAKULTET</v>
      </c>
      <c r="M48" s="215">
        <v>2356</v>
      </c>
      <c r="N48" s="218" t="s">
        <v>469</v>
      </c>
      <c r="O48" s="219" t="s">
        <v>454</v>
      </c>
      <c r="P48" s="218" t="s">
        <v>1921</v>
      </c>
      <c r="Q48" s="218" t="s">
        <v>455</v>
      </c>
      <c r="R48" s="216">
        <v>3119068</v>
      </c>
      <c r="S48" s="212" t="s">
        <v>470</v>
      </c>
      <c r="T48" s="213" t="s">
        <v>49</v>
      </c>
      <c r="U48" s="214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7">
        <f t="shared" si="0"/>
        <v>43</v>
      </c>
      <c r="L49" s="215" t="str">
        <f t="shared" si="1"/>
        <v>43773SVEUČILIŠTE U SPLITU - KINEZIOLOŠKI FAKULTET</v>
      </c>
      <c r="M49" s="215">
        <v>43773</v>
      </c>
      <c r="N49" s="218" t="s">
        <v>471</v>
      </c>
      <c r="O49" s="219" t="s">
        <v>454</v>
      </c>
      <c r="P49" s="218" t="s">
        <v>472</v>
      </c>
      <c r="Q49" s="218" t="s">
        <v>455</v>
      </c>
      <c r="R49" s="216">
        <v>2393255</v>
      </c>
      <c r="S49" s="212" t="s">
        <v>473</v>
      </c>
      <c r="T49" s="213" t="s">
        <v>49</v>
      </c>
      <c r="U49" s="214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7">
        <f t="shared" si="0"/>
        <v>44</v>
      </c>
      <c r="L50" s="215" t="str">
        <f t="shared" si="1"/>
        <v>22451SVEUČILIŠTE U SPLITU - MEDICINSKI FAKULTET</v>
      </c>
      <c r="M50" s="215">
        <v>22451</v>
      </c>
      <c r="N50" s="218" t="s">
        <v>476</v>
      </c>
      <c r="O50" s="219" t="s">
        <v>454</v>
      </c>
      <c r="P50" s="218" t="s">
        <v>477</v>
      </c>
      <c r="Q50" s="218" t="s">
        <v>455</v>
      </c>
      <c r="R50" s="216">
        <v>1315366</v>
      </c>
      <c r="S50" s="212" t="s">
        <v>478</v>
      </c>
      <c r="T50" s="213" t="s">
        <v>49</v>
      </c>
      <c r="U50" s="214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7">
        <f t="shared" si="0"/>
        <v>45</v>
      </c>
      <c r="L51" s="215" t="str">
        <f t="shared" si="1"/>
        <v>22460SVEUČILIŠTE U SPLITU - POMORSKI FAKULTET</v>
      </c>
      <c r="M51" s="215">
        <v>22460</v>
      </c>
      <c r="N51" s="218" t="s">
        <v>479</v>
      </c>
      <c r="O51" s="219" t="s">
        <v>454</v>
      </c>
      <c r="P51" s="218" t="s">
        <v>1922</v>
      </c>
      <c r="Q51" s="218" t="s">
        <v>455</v>
      </c>
      <c r="R51" s="216">
        <v>1406043</v>
      </c>
      <c r="S51" s="212" t="s">
        <v>480</v>
      </c>
      <c r="T51" s="213" t="s">
        <v>49</v>
      </c>
      <c r="U51" s="214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7">
        <f t="shared" si="0"/>
        <v>46</v>
      </c>
      <c r="L52" s="215" t="str">
        <f t="shared" si="1"/>
        <v>2397SVEUČILIŠTE U SPLITU - PRAVNI FAKULTET</v>
      </c>
      <c r="M52" s="215">
        <v>2397</v>
      </c>
      <c r="N52" s="218" t="s">
        <v>481</v>
      </c>
      <c r="O52" s="219" t="s">
        <v>454</v>
      </c>
      <c r="P52" s="218" t="s">
        <v>482</v>
      </c>
      <c r="Q52" s="218" t="s">
        <v>455</v>
      </c>
      <c r="R52" s="216">
        <v>3118347</v>
      </c>
      <c r="S52" s="212" t="s">
        <v>483</v>
      </c>
      <c r="T52" s="213" t="s">
        <v>49</v>
      </c>
      <c r="U52" s="214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7">
        <f t="shared" si="0"/>
        <v>47</v>
      </c>
      <c r="L53" s="215" t="str">
        <f t="shared" si="1"/>
        <v>2410SVEUČILIŠTE U SPLITU - PRIRODOSLOVNO - MATEMATIČKI FAKULTET</v>
      </c>
      <c r="M53" s="215">
        <v>2410</v>
      </c>
      <c r="N53" s="218" t="s">
        <v>484</v>
      </c>
      <c r="O53" s="219" t="s">
        <v>454</v>
      </c>
      <c r="P53" s="218" t="s">
        <v>1923</v>
      </c>
      <c r="Q53" s="218" t="s">
        <v>455</v>
      </c>
      <c r="R53" s="216">
        <v>3199622</v>
      </c>
      <c r="S53" s="212" t="s">
        <v>485</v>
      </c>
      <c r="T53" s="213" t="s">
        <v>49</v>
      </c>
      <c r="U53" s="214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7">
        <f t="shared" si="0"/>
        <v>48</v>
      </c>
      <c r="L54" s="215" t="str">
        <f t="shared" si="1"/>
        <v>2524SVEUČILIŠTE U SPLITU - SVEUČILIŠNA KNJIŽNICA</v>
      </c>
      <c r="M54" s="215">
        <v>2524</v>
      </c>
      <c r="N54" s="218" t="s">
        <v>486</v>
      </c>
      <c r="O54" s="219" t="s">
        <v>454</v>
      </c>
      <c r="P54" s="218" t="s">
        <v>487</v>
      </c>
      <c r="Q54" s="218" t="s">
        <v>455</v>
      </c>
      <c r="R54" s="216">
        <v>3118436</v>
      </c>
      <c r="S54" s="212" t="s">
        <v>488</v>
      </c>
      <c r="T54" s="213" t="s">
        <v>49</v>
      </c>
      <c r="U54" s="214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7">
        <f t="shared" si="0"/>
        <v>49</v>
      </c>
      <c r="L55" s="215" t="str">
        <f t="shared" si="1"/>
        <v>22478SVEUČILIŠTE U SPLITU - UMJETNIČKA AKADEMIJA</v>
      </c>
      <c r="M55" s="215">
        <v>22478</v>
      </c>
      <c r="N55" s="218" t="s">
        <v>489</v>
      </c>
      <c r="O55" s="219" t="s">
        <v>454</v>
      </c>
      <c r="P55" s="218" t="s">
        <v>490</v>
      </c>
      <c r="Q55" s="218" t="s">
        <v>455</v>
      </c>
      <c r="R55" s="216">
        <v>1321358</v>
      </c>
      <c r="S55" s="212" t="s">
        <v>491</v>
      </c>
      <c r="T55" s="213" t="s">
        <v>49</v>
      </c>
      <c r="U55" s="214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7">
        <f t="shared" si="0"/>
        <v>50</v>
      </c>
      <c r="L56" s="215" t="str">
        <f t="shared" si="1"/>
        <v>23815SVEUČILIŠTE U ZADRU</v>
      </c>
      <c r="M56" s="215">
        <v>23815</v>
      </c>
      <c r="N56" s="218" t="s">
        <v>410</v>
      </c>
      <c r="O56" s="219" t="s">
        <v>410</v>
      </c>
      <c r="P56" s="218" t="s">
        <v>1924</v>
      </c>
      <c r="Q56" s="218" t="s">
        <v>411</v>
      </c>
      <c r="R56" s="216">
        <v>1695525</v>
      </c>
      <c r="S56" s="212" t="s">
        <v>412</v>
      </c>
      <c r="T56" s="213" t="s">
        <v>49</v>
      </c>
      <c r="U56" s="214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7">
        <f t="shared" si="0"/>
        <v>51</v>
      </c>
      <c r="L57" s="215" t="str">
        <f t="shared" si="1"/>
        <v>2436SVEUČILIŠTE U ZAGREBU</v>
      </c>
      <c r="M57" s="215">
        <v>2436</v>
      </c>
      <c r="N57" s="218" t="s">
        <v>492</v>
      </c>
      <c r="O57" s="219" t="s">
        <v>492</v>
      </c>
      <c r="P57" s="218" t="s">
        <v>560</v>
      </c>
      <c r="Q57" s="218" t="s">
        <v>370</v>
      </c>
      <c r="R57" s="216">
        <v>3211592</v>
      </c>
      <c r="S57" s="212" t="s">
        <v>493</v>
      </c>
      <c r="T57" s="213" t="s">
        <v>49</v>
      </c>
      <c r="U57" s="214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7">
        <f t="shared" si="0"/>
        <v>52</v>
      </c>
      <c r="L58" s="215" t="str">
        <f t="shared" si="1"/>
        <v>1923SVEUČILIŠTE U ZAGREBU - AGRONOMSKI FAKULTET</v>
      </c>
      <c r="M58" s="215">
        <v>1923</v>
      </c>
      <c r="N58" s="218" t="s">
        <v>494</v>
      </c>
      <c r="O58" s="219" t="s">
        <v>492</v>
      </c>
      <c r="P58" s="218" t="s">
        <v>495</v>
      </c>
      <c r="Q58" s="218" t="s">
        <v>370</v>
      </c>
      <c r="R58" s="216">
        <v>3283097</v>
      </c>
      <c r="S58" s="212" t="s">
        <v>496</v>
      </c>
      <c r="T58" s="213" t="s">
        <v>49</v>
      </c>
      <c r="U58" s="214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7">
        <f t="shared" si="0"/>
        <v>53</v>
      </c>
      <c r="L59" s="215" t="str">
        <f t="shared" si="1"/>
        <v>1974SVEUČILIŠTE U ZAGREBU - AKADEMIJA DRAMSKE UMJETNOSTI</v>
      </c>
      <c r="M59" s="215">
        <v>1974</v>
      </c>
      <c r="N59" s="218" t="s">
        <v>497</v>
      </c>
      <c r="O59" s="219" t="s">
        <v>492</v>
      </c>
      <c r="P59" s="218" t="s">
        <v>498</v>
      </c>
      <c r="Q59" s="218" t="s">
        <v>370</v>
      </c>
      <c r="R59" s="216">
        <v>3205029</v>
      </c>
      <c r="S59" s="212" t="s">
        <v>499</v>
      </c>
      <c r="T59" s="213" t="s">
        <v>49</v>
      </c>
      <c r="U59" s="214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7">
        <f t="shared" si="0"/>
        <v>54</v>
      </c>
      <c r="L60" s="215" t="str">
        <f t="shared" si="1"/>
        <v>1982SVEUČILIŠTE U ZAGREBU - AKADEMIJA LIKOVNIH UMJETNOSTI</v>
      </c>
      <c r="M60" s="215">
        <v>1982</v>
      </c>
      <c r="N60" s="218" t="s">
        <v>500</v>
      </c>
      <c r="O60" s="219" t="s">
        <v>492</v>
      </c>
      <c r="P60" s="218" t="s">
        <v>501</v>
      </c>
      <c r="Q60" s="218" t="s">
        <v>370</v>
      </c>
      <c r="R60" s="216">
        <v>3207919</v>
      </c>
      <c r="S60" s="212" t="s">
        <v>502</v>
      </c>
      <c r="T60" s="213" t="s">
        <v>49</v>
      </c>
      <c r="U60" s="214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7">
        <f t="shared" si="0"/>
        <v>55</v>
      </c>
      <c r="L61" s="215" t="str">
        <f t="shared" si="1"/>
        <v xml:space="preserve">1861SVEUČILIŠTE U ZAGREBU - ARHITEKTONSKI FAKULTET </v>
      </c>
      <c r="M61" s="215">
        <v>1861</v>
      </c>
      <c r="N61" s="218" t="s">
        <v>503</v>
      </c>
      <c r="O61" s="219" t="s">
        <v>492</v>
      </c>
      <c r="P61" s="218" t="s">
        <v>504</v>
      </c>
      <c r="Q61" s="218" t="s">
        <v>370</v>
      </c>
      <c r="R61" s="216">
        <v>3204952</v>
      </c>
      <c r="S61" s="212" t="s">
        <v>505</v>
      </c>
      <c r="T61" s="213" t="s">
        <v>49</v>
      </c>
      <c r="U61" s="214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7">
        <f t="shared" si="0"/>
        <v>56</v>
      </c>
      <c r="L62" s="215" t="str">
        <f t="shared" si="1"/>
        <v xml:space="preserve">1966SVEUČILIŠTE U ZAGREBU - EDUKACIJSKO-REHABILITACIJSKI FAKULTET </v>
      </c>
      <c r="M62" s="215">
        <v>1966</v>
      </c>
      <c r="N62" s="218" t="s">
        <v>506</v>
      </c>
      <c r="O62" s="219" t="s">
        <v>492</v>
      </c>
      <c r="P62" s="218" t="s">
        <v>507</v>
      </c>
      <c r="Q62" s="218" t="s">
        <v>370</v>
      </c>
      <c r="R62" s="216">
        <v>3219780</v>
      </c>
      <c r="S62" s="212" t="s">
        <v>508</v>
      </c>
      <c r="T62" s="213" t="s">
        <v>49</v>
      </c>
      <c r="U62" s="214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7">
        <f t="shared" si="0"/>
        <v>57</v>
      </c>
      <c r="L63" s="215" t="str">
        <f t="shared" si="1"/>
        <v>1931SVEUČILIŠTE U ZAGREBU - EKONOMSKI FAKULTET</v>
      </c>
      <c r="M63" s="215">
        <v>1931</v>
      </c>
      <c r="N63" s="218" t="s">
        <v>509</v>
      </c>
      <c r="O63" s="219" t="s">
        <v>492</v>
      </c>
      <c r="P63" s="218" t="s">
        <v>1925</v>
      </c>
      <c r="Q63" s="218" t="s">
        <v>370</v>
      </c>
      <c r="R63" s="216">
        <v>3272079</v>
      </c>
      <c r="S63" s="212" t="s">
        <v>510</v>
      </c>
      <c r="T63" s="213" t="s">
        <v>49</v>
      </c>
      <c r="U63" s="214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7">
        <f t="shared" si="0"/>
        <v>58</v>
      </c>
      <c r="L64" s="215" t="str">
        <f t="shared" si="1"/>
        <v>1757SVEUČILIŠTE U ZAGREBU - FAKULTET ELEKTROTEHNIKE I RAČUNARSTVA</v>
      </c>
      <c r="M64" s="215">
        <v>1757</v>
      </c>
      <c r="N64" s="220" t="s">
        <v>511</v>
      </c>
      <c r="O64" s="219" t="s">
        <v>492</v>
      </c>
      <c r="P64" s="220" t="s">
        <v>512</v>
      </c>
      <c r="Q64" s="220" t="s">
        <v>370</v>
      </c>
      <c r="R64" s="221">
        <v>3276643</v>
      </c>
      <c r="S64" s="212" t="s">
        <v>513</v>
      </c>
      <c r="T64" s="213" t="s">
        <v>49</v>
      </c>
      <c r="U64" s="214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7">
        <f t="shared" si="0"/>
        <v>59</v>
      </c>
      <c r="L65" s="215" t="str">
        <f t="shared" si="1"/>
        <v>6154SVEUČILIŠTE U ZAGREBU - FAKULTET FILOZOFIJE I RELIGIJSKIH ZNANOSTI</v>
      </c>
      <c r="M65" s="215">
        <v>6154</v>
      </c>
      <c r="N65" s="218" t="s">
        <v>1926</v>
      </c>
      <c r="O65" s="219" t="s">
        <v>492</v>
      </c>
      <c r="P65" s="218" t="s">
        <v>514</v>
      </c>
      <c r="Q65" s="218" t="s">
        <v>370</v>
      </c>
      <c r="R65" s="216">
        <v>1235664</v>
      </c>
      <c r="S65" s="212" t="s">
        <v>515</v>
      </c>
      <c r="T65" s="213" t="s">
        <v>49</v>
      </c>
      <c r="U65" s="214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7">
        <f t="shared" si="0"/>
        <v>60</v>
      </c>
      <c r="L66" s="215" t="str">
        <f t="shared" si="1"/>
        <v>51191SVEUČILIŠTE U ZAGREBU - FAKULTET HRVATSKIH STUDIJA</v>
      </c>
      <c r="M66" s="215">
        <v>51191</v>
      </c>
      <c r="N66" s="218" t="s">
        <v>1927</v>
      </c>
      <c r="O66" s="219" t="s">
        <v>492</v>
      </c>
      <c r="P66" s="218" t="s">
        <v>1928</v>
      </c>
      <c r="Q66" s="218" t="s">
        <v>370</v>
      </c>
      <c r="R66" s="216">
        <v>5214068</v>
      </c>
      <c r="S66" s="212" t="s">
        <v>1929</v>
      </c>
      <c r="T66" s="213" t="s">
        <v>49</v>
      </c>
      <c r="U66" s="214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7">
        <f t="shared" si="0"/>
        <v>61</v>
      </c>
      <c r="L67" s="215" t="str">
        <f t="shared" si="1"/>
        <v>1790SVEUČILIŠTE U ZAGREBU - FAKULTET KEMIJSKOG INŽENJERSTVA I TEHNOLOGIJE</v>
      </c>
      <c r="M67" s="215">
        <v>1790</v>
      </c>
      <c r="N67" s="218" t="s">
        <v>518</v>
      </c>
      <c r="O67" s="219" t="s">
        <v>492</v>
      </c>
      <c r="P67" s="218" t="s">
        <v>519</v>
      </c>
      <c r="Q67" s="218" t="s">
        <v>370</v>
      </c>
      <c r="R67" s="216">
        <v>3250270</v>
      </c>
      <c r="S67" s="212" t="s">
        <v>520</v>
      </c>
      <c r="T67" s="213" t="s">
        <v>49</v>
      </c>
      <c r="U67" s="214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7">
        <f t="shared" si="0"/>
        <v>62</v>
      </c>
      <c r="L68" s="215" t="str">
        <f t="shared" si="1"/>
        <v>1907SVEUČILIŠTE U ZAGREBU - FAKULTET POLITIČKIH ZNANOSTI</v>
      </c>
      <c r="M68" s="215">
        <v>1907</v>
      </c>
      <c r="N68" s="218" t="s">
        <v>521</v>
      </c>
      <c r="O68" s="219" t="s">
        <v>492</v>
      </c>
      <c r="P68" s="218" t="s">
        <v>522</v>
      </c>
      <c r="Q68" s="218" t="s">
        <v>370</v>
      </c>
      <c r="R68" s="216">
        <v>3270262</v>
      </c>
      <c r="S68" s="212" t="s">
        <v>523</v>
      </c>
      <c r="T68" s="213" t="s">
        <v>49</v>
      </c>
      <c r="U68" s="214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7">
        <f t="shared" si="0"/>
        <v>63</v>
      </c>
      <c r="L69" s="215" t="str">
        <f t="shared" si="1"/>
        <v>1812SVEUČILIŠTE U ZAGREBU - FAKULTET PROMETNIH ZNANOSTI</v>
      </c>
      <c r="M69" s="215">
        <v>1812</v>
      </c>
      <c r="N69" s="218" t="s">
        <v>524</v>
      </c>
      <c r="O69" s="219" t="s">
        <v>492</v>
      </c>
      <c r="P69" s="218" t="s">
        <v>525</v>
      </c>
      <c r="Q69" s="218" t="s">
        <v>370</v>
      </c>
      <c r="R69" s="216">
        <v>3260771</v>
      </c>
      <c r="S69" s="212" t="s">
        <v>526</v>
      </c>
      <c r="T69" s="213" t="s">
        <v>49</v>
      </c>
      <c r="U69" s="214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7">
        <f t="shared" si="0"/>
        <v>64</v>
      </c>
      <c r="L70" s="215" t="str">
        <f t="shared" si="1"/>
        <v>1829SVEUČILIŠTE U ZAGREBU - FAKULTET STROJARSTVA I BRODOGRADNJE</v>
      </c>
      <c r="M70" s="215">
        <v>1829</v>
      </c>
      <c r="N70" s="218" t="s">
        <v>527</v>
      </c>
      <c r="O70" s="219" t="s">
        <v>492</v>
      </c>
      <c r="P70" s="218" t="s">
        <v>528</v>
      </c>
      <c r="Q70" s="218" t="s">
        <v>370</v>
      </c>
      <c r="R70" s="216">
        <v>3276546</v>
      </c>
      <c r="S70" s="212" t="s">
        <v>529</v>
      </c>
      <c r="T70" s="213" t="s">
        <v>49</v>
      </c>
      <c r="U70" s="214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7">
        <f t="shared" ref="K71:K133" si="2">+K70+1</f>
        <v>65</v>
      </c>
      <c r="L71" s="215" t="str">
        <f t="shared" si="1"/>
        <v xml:space="preserve">2014SVEUČILIŠTE U ZAGREBU - FARMACEUTSKO-BIOKEMIJSKI FAKULTET </v>
      </c>
      <c r="M71" s="215">
        <v>2014</v>
      </c>
      <c r="N71" s="218" t="s">
        <v>530</v>
      </c>
      <c r="O71" s="219" t="s">
        <v>492</v>
      </c>
      <c r="P71" s="218" t="s">
        <v>531</v>
      </c>
      <c r="Q71" s="218" t="s">
        <v>370</v>
      </c>
      <c r="R71" s="216">
        <v>3205037</v>
      </c>
      <c r="S71" s="212" t="s">
        <v>532</v>
      </c>
      <c r="T71" s="213" t="s">
        <v>49</v>
      </c>
      <c r="U71" s="214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7">
        <f t="shared" si="2"/>
        <v>66</v>
      </c>
      <c r="L72" s="215" t="str">
        <f t="shared" ref="L72:L135" si="3">M72&amp;""&amp;N72</f>
        <v>1958SVEUČILIŠTE U ZAGREBU - FILOZOFSKI FAKULTET</v>
      </c>
      <c r="M72" s="215">
        <v>1958</v>
      </c>
      <c r="N72" s="218" t="s">
        <v>533</v>
      </c>
      <c r="O72" s="219" t="s">
        <v>492</v>
      </c>
      <c r="P72" s="218" t="s">
        <v>534</v>
      </c>
      <c r="Q72" s="218" t="s">
        <v>370</v>
      </c>
      <c r="R72" s="216">
        <v>3254852</v>
      </c>
      <c r="S72" s="212" t="s">
        <v>535</v>
      </c>
      <c r="T72" s="213" t="s">
        <v>49</v>
      </c>
      <c r="U72" s="214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7">
        <f t="shared" si="2"/>
        <v>67</v>
      </c>
      <c r="L73" s="215" t="str">
        <f t="shared" si="3"/>
        <v>1853SVEUČILIŠTE U ZAGREBU - GEODETSKI FAKULTET</v>
      </c>
      <c r="M73" s="215">
        <v>1853</v>
      </c>
      <c r="N73" s="218" t="s">
        <v>536</v>
      </c>
      <c r="O73" s="219" t="s">
        <v>492</v>
      </c>
      <c r="P73" s="218" t="s">
        <v>1930</v>
      </c>
      <c r="Q73" s="218" t="s">
        <v>370</v>
      </c>
      <c r="R73" s="216">
        <v>3204987</v>
      </c>
      <c r="S73" s="212" t="s">
        <v>537</v>
      </c>
      <c r="T73" s="213" t="s">
        <v>49</v>
      </c>
      <c r="U73" s="214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7">
        <f t="shared" si="2"/>
        <v>68</v>
      </c>
      <c r="L74" s="215" t="str">
        <f t="shared" si="3"/>
        <v>2102SVEUČILIŠTE U ZAGREBU - GEOTEHNIČKI FAKULTET</v>
      </c>
      <c r="M74" s="215">
        <v>2102</v>
      </c>
      <c r="N74" s="218" t="s">
        <v>538</v>
      </c>
      <c r="O74" s="219" t="s">
        <v>492</v>
      </c>
      <c r="P74" s="218" t="s">
        <v>539</v>
      </c>
      <c r="Q74" s="218" t="s">
        <v>540</v>
      </c>
      <c r="R74" s="216">
        <v>3042316</v>
      </c>
      <c r="S74" s="212" t="s">
        <v>541</v>
      </c>
      <c r="T74" s="213" t="s">
        <v>49</v>
      </c>
      <c r="U74" s="214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7">
        <f t="shared" si="2"/>
        <v>69</v>
      </c>
      <c r="L75" s="215" t="str">
        <f t="shared" si="3"/>
        <v>1837SVEUČILIŠTE U ZAGREBU - GRAĐEVINSKI FAKULTET</v>
      </c>
      <c r="M75" s="215">
        <v>1837</v>
      </c>
      <c r="N75" s="218" t="s">
        <v>542</v>
      </c>
      <c r="O75" s="219" t="s">
        <v>492</v>
      </c>
      <c r="P75" s="218" t="s">
        <v>543</v>
      </c>
      <c r="Q75" s="218" t="s">
        <v>370</v>
      </c>
      <c r="R75" s="216">
        <v>3227120</v>
      </c>
      <c r="S75" s="212" t="s">
        <v>544</v>
      </c>
      <c r="T75" s="213" t="s">
        <v>49</v>
      </c>
      <c r="U75" s="214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7">
        <f t="shared" si="2"/>
        <v>70</v>
      </c>
      <c r="L76" s="215" t="str">
        <f t="shared" si="3"/>
        <v>2080SVEUČILIŠTE U ZAGREBU - GRAFIČKI FAKULTET</v>
      </c>
      <c r="M76" s="215">
        <v>2080</v>
      </c>
      <c r="N76" s="218" t="s">
        <v>545</v>
      </c>
      <c r="O76" s="219" t="s">
        <v>492</v>
      </c>
      <c r="P76" s="218" t="s">
        <v>546</v>
      </c>
      <c r="Q76" s="218" t="s">
        <v>370</v>
      </c>
      <c r="R76" s="216">
        <v>3219763</v>
      </c>
      <c r="S76" s="212" t="s">
        <v>547</v>
      </c>
      <c r="T76" s="213" t="s">
        <v>49</v>
      </c>
      <c r="U76" s="214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7">
        <f t="shared" si="2"/>
        <v>71</v>
      </c>
      <c r="L77" s="215" t="str">
        <f t="shared" si="3"/>
        <v xml:space="preserve">2135SVEUČILIŠTE U ZAGREBU - KATOLIČKI BOGOSLOVNI FAKULTET </v>
      </c>
      <c r="M77" s="215">
        <v>2135</v>
      </c>
      <c r="N77" s="218" t="s">
        <v>516</v>
      </c>
      <c r="O77" s="219" t="s">
        <v>492</v>
      </c>
      <c r="P77" s="218" t="s">
        <v>517</v>
      </c>
      <c r="Q77" s="218" t="s">
        <v>370</v>
      </c>
      <c r="R77" s="216">
        <v>3703088</v>
      </c>
      <c r="S77" s="212">
        <v>48987767944</v>
      </c>
      <c r="T77" s="213" t="s">
        <v>49</v>
      </c>
      <c r="U77" s="214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7">
        <f t="shared" si="2"/>
        <v>72</v>
      </c>
      <c r="L78" s="215" t="str">
        <f t="shared" si="3"/>
        <v>2006SVEUČILIŠTE U ZAGREBU - KINEZIOLOŠKI FAKULTET</v>
      </c>
      <c r="M78" s="215">
        <v>2006</v>
      </c>
      <c r="N78" s="218" t="s">
        <v>548</v>
      </c>
      <c r="O78" s="219" t="s">
        <v>492</v>
      </c>
      <c r="P78" s="218" t="s">
        <v>549</v>
      </c>
      <c r="Q78" s="218" t="s">
        <v>370</v>
      </c>
      <c r="R78" s="216">
        <v>3274080</v>
      </c>
      <c r="S78" s="212" t="s">
        <v>550</v>
      </c>
      <c r="T78" s="213" t="s">
        <v>49</v>
      </c>
      <c r="U78" s="214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7">
        <f t="shared" si="2"/>
        <v>73</v>
      </c>
      <c r="L79" s="215" t="str">
        <f t="shared" si="3"/>
        <v>1888SVEUČILIŠTE U ZAGREBU - MEDICINSKI FAKULTET</v>
      </c>
      <c r="M79" s="215">
        <v>1888</v>
      </c>
      <c r="N79" s="218" t="s">
        <v>551</v>
      </c>
      <c r="O79" s="219" t="s">
        <v>492</v>
      </c>
      <c r="P79" s="218" t="s">
        <v>552</v>
      </c>
      <c r="Q79" s="218" t="s">
        <v>370</v>
      </c>
      <c r="R79" s="216">
        <v>3270211</v>
      </c>
      <c r="S79" s="212" t="s">
        <v>553</v>
      </c>
      <c r="T79" s="213" t="s">
        <v>49</v>
      </c>
      <c r="U79" s="214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7">
        <f t="shared" si="2"/>
        <v>74</v>
      </c>
      <c r="L80" s="215" t="str">
        <f t="shared" si="3"/>
        <v>2071SVEUČILIŠTE U ZAGREBU - METALURŠKI FAKULTET SISAK</v>
      </c>
      <c r="M80" s="215">
        <v>2071</v>
      </c>
      <c r="N80" s="218" t="s">
        <v>554</v>
      </c>
      <c r="O80" s="219" t="s">
        <v>492</v>
      </c>
      <c r="P80" s="218" t="s">
        <v>555</v>
      </c>
      <c r="Q80" s="218" t="s">
        <v>1931</v>
      </c>
      <c r="R80" s="216">
        <v>3313786</v>
      </c>
      <c r="S80" s="212" t="s">
        <v>556</v>
      </c>
      <c r="T80" s="213" t="s">
        <v>49</v>
      </c>
      <c r="U80" s="214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7">
        <f t="shared" si="2"/>
        <v>75</v>
      </c>
      <c r="L81" s="215" t="str">
        <f t="shared" si="3"/>
        <v>1999SVEUČILIŠTE U ZAGREBU - MUZIČKA AKADEMIJA</v>
      </c>
      <c r="M81" s="215">
        <v>1999</v>
      </c>
      <c r="N81" s="218" t="s">
        <v>557</v>
      </c>
      <c r="O81" s="219" t="s">
        <v>492</v>
      </c>
      <c r="P81" s="218" t="s">
        <v>1932</v>
      </c>
      <c r="Q81" s="218" t="s">
        <v>370</v>
      </c>
      <c r="R81" s="216">
        <v>3205002</v>
      </c>
      <c r="S81" s="212" t="s">
        <v>558</v>
      </c>
      <c r="T81" s="213" t="s">
        <v>49</v>
      </c>
      <c r="U81" s="214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7">
        <f t="shared" si="2"/>
        <v>76</v>
      </c>
      <c r="L82" s="215" t="str">
        <f t="shared" si="3"/>
        <v>1915SVEUČILIŠTE U ZAGREBU - PRAVNI FAKULTET</v>
      </c>
      <c r="M82" s="223">
        <v>1915</v>
      </c>
      <c r="N82" s="218" t="s">
        <v>559</v>
      </c>
      <c r="O82" s="219" t="s">
        <v>492</v>
      </c>
      <c r="P82" s="218" t="s">
        <v>560</v>
      </c>
      <c r="Q82" s="218" t="s">
        <v>370</v>
      </c>
      <c r="R82" s="216">
        <v>3225909</v>
      </c>
      <c r="S82" s="212" t="s">
        <v>561</v>
      </c>
      <c r="T82" s="213" t="s">
        <v>49</v>
      </c>
      <c r="U82" s="214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7">
        <f t="shared" si="2"/>
        <v>77</v>
      </c>
      <c r="L83" s="215" t="str">
        <f t="shared" si="3"/>
        <v>1845SVEUČILIŠTE U ZAGREBU - PREHRAMBENO BIOTEHNOLOŠKI FAKULTET</v>
      </c>
      <c r="M83" s="215">
        <v>1845</v>
      </c>
      <c r="N83" s="218" t="s">
        <v>562</v>
      </c>
      <c r="O83" s="219" t="s">
        <v>492</v>
      </c>
      <c r="P83" s="218" t="s">
        <v>568</v>
      </c>
      <c r="Q83" s="218" t="s">
        <v>370</v>
      </c>
      <c r="R83" s="216">
        <v>3207102</v>
      </c>
      <c r="S83" s="212" t="s">
        <v>563</v>
      </c>
      <c r="T83" s="213" t="s">
        <v>49</v>
      </c>
      <c r="U83" s="214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7">
        <f t="shared" si="2"/>
        <v>78</v>
      </c>
      <c r="L84" s="215" t="str">
        <f t="shared" si="3"/>
        <v>1781SVEUČILIŠTE U ZAGREBU - PRIRODOSLOVNO-MATEMATIČKI FAKULTET</v>
      </c>
      <c r="M84" s="215">
        <v>1781</v>
      </c>
      <c r="N84" s="218" t="s">
        <v>564</v>
      </c>
      <c r="O84" s="219" t="s">
        <v>492</v>
      </c>
      <c r="P84" s="218" t="s">
        <v>565</v>
      </c>
      <c r="Q84" s="218" t="s">
        <v>370</v>
      </c>
      <c r="R84" s="216">
        <v>3270149</v>
      </c>
      <c r="S84" s="212" t="s">
        <v>566</v>
      </c>
      <c r="T84" s="213" t="s">
        <v>49</v>
      </c>
      <c r="U84" s="214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7">
        <f t="shared" si="2"/>
        <v>79</v>
      </c>
      <c r="L85" s="215" t="str">
        <f t="shared" si="3"/>
        <v>2047SVEUČILIŠTE U ZAGREBU - RUDARSKO-GEOLOŠKO-NAFTNI FAKULTET</v>
      </c>
      <c r="M85" s="215">
        <v>2047</v>
      </c>
      <c r="N85" s="218" t="s">
        <v>567</v>
      </c>
      <c r="O85" s="219" t="s">
        <v>492</v>
      </c>
      <c r="P85" s="224" t="s">
        <v>568</v>
      </c>
      <c r="Q85" s="224" t="s">
        <v>370</v>
      </c>
      <c r="R85" s="216">
        <v>3207005</v>
      </c>
      <c r="S85" s="212" t="s">
        <v>569</v>
      </c>
      <c r="T85" s="213" t="s">
        <v>49</v>
      </c>
      <c r="U85" s="214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7">
        <f t="shared" si="2"/>
        <v>80</v>
      </c>
      <c r="L86" s="215" t="str">
        <f t="shared" si="3"/>
        <v>1870SVEUČILIŠTE U ZAGREBU - STOMATOLOŠKI FAKULTET</v>
      </c>
      <c r="M86" s="215">
        <v>1870</v>
      </c>
      <c r="N86" s="218" t="s">
        <v>570</v>
      </c>
      <c r="O86" s="219" t="s">
        <v>492</v>
      </c>
      <c r="P86" s="218" t="s">
        <v>571</v>
      </c>
      <c r="Q86" s="218" t="s">
        <v>370</v>
      </c>
      <c r="R86" s="216">
        <v>3204995</v>
      </c>
      <c r="S86" s="212" t="s">
        <v>572</v>
      </c>
      <c r="T86" s="213" t="s">
        <v>49</v>
      </c>
      <c r="U86" s="214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7">
        <f t="shared" si="2"/>
        <v>81</v>
      </c>
      <c r="L87" s="215" t="str">
        <f t="shared" si="3"/>
        <v>1896SVEUČILIŠTE U ZAGREBU - FAKULTET ŠUMARSTVA I DRVNE TEHNOLOGIJE</v>
      </c>
      <c r="M87" s="215">
        <v>1896</v>
      </c>
      <c r="N87" s="218" t="s">
        <v>1978</v>
      </c>
      <c r="O87" s="219" t="s">
        <v>492</v>
      </c>
      <c r="P87" s="218" t="s">
        <v>495</v>
      </c>
      <c r="Q87" s="218" t="s">
        <v>370</v>
      </c>
      <c r="R87" s="216">
        <v>3281485</v>
      </c>
      <c r="S87" s="212" t="s">
        <v>573</v>
      </c>
      <c r="T87" s="213" t="s">
        <v>49</v>
      </c>
      <c r="U87" s="214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7">
        <f t="shared" si="2"/>
        <v>82</v>
      </c>
      <c r="L88" s="215" t="str">
        <f t="shared" si="3"/>
        <v>1804SVEUČILIŠTE U ZAGREBU - TEKSTILNO TEHNOLOŠKI FAKULTET</v>
      </c>
      <c r="M88" s="215">
        <v>1804</v>
      </c>
      <c r="N88" s="218" t="s">
        <v>574</v>
      </c>
      <c r="O88" s="219" t="s">
        <v>492</v>
      </c>
      <c r="P88" s="218" t="s">
        <v>575</v>
      </c>
      <c r="Q88" s="218" t="s">
        <v>370</v>
      </c>
      <c r="R88" s="216">
        <v>3207064</v>
      </c>
      <c r="S88" s="212" t="s">
        <v>576</v>
      </c>
      <c r="T88" s="213" t="s">
        <v>49</v>
      </c>
      <c r="U88" s="214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7">
        <f t="shared" si="2"/>
        <v>83</v>
      </c>
      <c r="L89" s="215" t="str">
        <f t="shared" si="3"/>
        <v>1940SVEUČILIŠTE U ZAGREBU - UČITELJSKI FAKULTET</v>
      </c>
      <c r="M89" s="215">
        <v>1940</v>
      </c>
      <c r="N89" s="218" t="s">
        <v>577</v>
      </c>
      <c r="O89" s="219" t="s">
        <v>492</v>
      </c>
      <c r="P89" s="218" t="s">
        <v>578</v>
      </c>
      <c r="Q89" s="218" t="s">
        <v>370</v>
      </c>
      <c r="R89" s="216">
        <v>1422545</v>
      </c>
      <c r="S89" s="212" t="s">
        <v>579</v>
      </c>
      <c r="T89" s="213" t="s">
        <v>49</v>
      </c>
      <c r="U89" s="214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7">
        <f t="shared" si="2"/>
        <v>84</v>
      </c>
      <c r="L90" s="215" t="str">
        <f t="shared" si="3"/>
        <v>2022SVEUČILIŠTE U ZAGREBU - VETERINARSKI FAKULTET</v>
      </c>
      <c r="M90" s="215">
        <v>2022</v>
      </c>
      <c r="N90" s="218" t="s">
        <v>580</v>
      </c>
      <c r="O90" s="219" t="s">
        <v>492</v>
      </c>
      <c r="P90" s="218" t="s">
        <v>581</v>
      </c>
      <c r="Q90" s="218" t="s">
        <v>370</v>
      </c>
      <c r="R90" s="216">
        <v>3225755</v>
      </c>
      <c r="S90" s="212" t="s">
        <v>582</v>
      </c>
      <c r="T90" s="213" t="s">
        <v>49</v>
      </c>
      <c r="U90" s="214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7">
        <f t="shared" si="2"/>
        <v>85</v>
      </c>
      <c r="L91" s="215" t="str">
        <f t="shared" si="3"/>
        <v>22427TEHNIČKO VELEUČILIŠTE U ZAGREBU</v>
      </c>
      <c r="M91" s="215">
        <v>22427</v>
      </c>
      <c r="N91" s="218" t="s">
        <v>591</v>
      </c>
      <c r="O91" s="219" t="s">
        <v>587</v>
      </c>
      <c r="P91" s="218" t="s">
        <v>592</v>
      </c>
      <c r="Q91" s="218" t="s">
        <v>370</v>
      </c>
      <c r="R91" s="216">
        <v>1398270</v>
      </c>
      <c r="S91" s="212" t="s">
        <v>593</v>
      </c>
      <c r="T91" s="213" t="s">
        <v>49</v>
      </c>
      <c r="U91" s="214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7">
        <f t="shared" si="2"/>
        <v>86</v>
      </c>
      <c r="L92" s="215" t="str">
        <f t="shared" si="3"/>
        <v>50848VELEUČILIŠTE HRVATSKO ZAGORJE KRAPINA</v>
      </c>
      <c r="M92" s="215">
        <v>50848</v>
      </c>
      <c r="N92" s="218" t="s">
        <v>1933</v>
      </c>
      <c r="O92" s="219" t="s">
        <v>587</v>
      </c>
      <c r="P92" s="218" t="s">
        <v>1934</v>
      </c>
      <c r="Q92" s="218" t="s">
        <v>1935</v>
      </c>
      <c r="R92" s="216">
        <v>2271354</v>
      </c>
      <c r="S92" s="212" t="s">
        <v>1936</v>
      </c>
      <c r="T92" s="213" t="s">
        <v>49</v>
      </c>
      <c r="U92" s="214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7">
        <f t="shared" si="2"/>
        <v>87</v>
      </c>
      <c r="L93" s="215" t="str">
        <f t="shared" si="3"/>
        <v>38446VELEUČILIŠTE LAVOSLAV RUŽIČKA U VUKOVARU</v>
      </c>
      <c r="M93" s="215">
        <v>38446</v>
      </c>
      <c r="N93" s="218" t="s">
        <v>594</v>
      </c>
      <c r="O93" s="219" t="s">
        <v>587</v>
      </c>
      <c r="P93" s="218" t="s">
        <v>595</v>
      </c>
      <c r="Q93" s="218" t="s">
        <v>596</v>
      </c>
      <c r="R93" s="216">
        <v>1970828</v>
      </c>
      <c r="S93" s="212" t="s">
        <v>597</v>
      </c>
      <c r="T93" s="213" t="s">
        <v>49</v>
      </c>
      <c r="U93" s="214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7">
        <f t="shared" si="2"/>
        <v>88</v>
      </c>
      <c r="L94" s="215" t="str">
        <f t="shared" si="3"/>
        <v>38438VELEUČILIŠTE MARKO MARULIĆ U KNINU</v>
      </c>
      <c r="M94" s="215">
        <v>38438</v>
      </c>
      <c r="N94" s="218" t="s">
        <v>598</v>
      </c>
      <c r="O94" s="219" t="s">
        <v>587</v>
      </c>
      <c r="P94" s="218" t="s">
        <v>599</v>
      </c>
      <c r="Q94" s="218" t="s">
        <v>600</v>
      </c>
      <c r="R94" s="216">
        <v>1963813</v>
      </c>
      <c r="S94" s="212" t="s">
        <v>601</v>
      </c>
      <c r="T94" s="213" t="s">
        <v>49</v>
      </c>
      <c r="U94" s="214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7">
        <f t="shared" si="2"/>
        <v>89</v>
      </c>
      <c r="L95" s="215" t="str">
        <f t="shared" si="3"/>
        <v>41185VELEUČILIŠTE NIKOLA TESLA U GOSPIĆU</v>
      </c>
      <c r="M95" s="215">
        <v>41185</v>
      </c>
      <c r="N95" s="218" t="s">
        <v>602</v>
      </c>
      <c r="O95" s="219" t="s">
        <v>587</v>
      </c>
      <c r="P95" s="218" t="s">
        <v>603</v>
      </c>
      <c r="Q95" s="218" t="s">
        <v>604</v>
      </c>
      <c r="R95" s="222">
        <v>2103133</v>
      </c>
      <c r="S95" s="212" t="s">
        <v>605</v>
      </c>
      <c r="T95" s="213" t="s">
        <v>49</v>
      </c>
      <c r="U95" s="214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7">
        <f t="shared" si="2"/>
        <v>90</v>
      </c>
      <c r="L96" s="215" t="str">
        <f t="shared" si="3"/>
        <v>21053VELEUČILIŠTE U KARLOVCU</v>
      </c>
      <c r="M96" s="215">
        <v>21053</v>
      </c>
      <c r="N96" s="218" t="s">
        <v>606</v>
      </c>
      <c r="O96" s="219" t="s">
        <v>587</v>
      </c>
      <c r="P96" s="218" t="s">
        <v>607</v>
      </c>
      <c r="Q96" s="218" t="s">
        <v>608</v>
      </c>
      <c r="R96" s="216">
        <v>1286030</v>
      </c>
      <c r="S96" s="212" t="s">
        <v>609</v>
      </c>
      <c r="T96" s="213" t="s">
        <v>49</v>
      </c>
      <c r="U96" s="214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7">
        <f t="shared" si="2"/>
        <v>91</v>
      </c>
      <c r="L97" s="215" t="str">
        <f t="shared" si="3"/>
        <v>22398VELEUČILIŠTE U POŽEGI</v>
      </c>
      <c r="M97" s="215">
        <v>22398</v>
      </c>
      <c r="N97" s="218" t="s">
        <v>610</v>
      </c>
      <c r="O97" s="219" t="s">
        <v>587</v>
      </c>
      <c r="P97" s="218" t="s">
        <v>611</v>
      </c>
      <c r="Q97" s="218" t="s">
        <v>612</v>
      </c>
      <c r="R97" s="216">
        <v>1395521</v>
      </c>
      <c r="S97" s="212" t="s">
        <v>613</v>
      </c>
      <c r="T97" s="213" t="s">
        <v>49</v>
      </c>
      <c r="U97" s="214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7">
        <f t="shared" si="2"/>
        <v>92</v>
      </c>
      <c r="L98" s="215" t="str">
        <f t="shared" si="3"/>
        <v>22494VELEUČILIŠTE U RIJECI</v>
      </c>
      <c r="M98" s="215">
        <v>22494</v>
      </c>
      <c r="N98" s="218" t="s">
        <v>614</v>
      </c>
      <c r="O98" s="219" t="s">
        <v>587</v>
      </c>
      <c r="P98" s="218" t="s">
        <v>615</v>
      </c>
      <c r="Q98" s="218" t="s">
        <v>415</v>
      </c>
      <c r="R98" s="216">
        <v>1387332</v>
      </c>
      <c r="S98" s="212" t="s">
        <v>616</v>
      </c>
      <c r="T98" s="213" t="s">
        <v>49</v>
      </c>
      <c r="U98" s="214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7">
        <f t="shared" si="2"/>
        <v>93</v>
      </c>
      <c r="L99" s="215" t="str">
        <f t="shared" si="3"/>
        <v>22824VELEUČILIŠTE U ŠIBENIKU</v>
      </c>
      <c r="M99" s="215">
        <v>22824</v>
      </c>
      <c r="N99" s="218" t="s">
        <v>617</v>
      </c>
      <c r="O99" s="219" t="s">
        <v>587</v>
      </c>
      <c r="P99" s="218" t="s">
        <v>618</v>
      </c>
      <c r="Q99" s="218" t="s">
        <v>619</v>
      </c>
      <c r="R99" s="216">
        <v>2100673</v>
      </c>
      <c r="S99" s="212" t="s">
        <v>620</v>
      </c>
      <c r="T99" s="213" t="s">
        <v>49</v>
      </c>
      <c r="U99" s="214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7">
        <f t="shared" si="2"/>
        <v>94</v>
      </c>
      <c r="L100" s="215" t="str">
        <f t="shared" si="3"/>
        <v>42993VELEUČILIŠTE U VIROVITICI</v>
      </c>
      <c r="M100" s="215">
        <v>42993</v>
      </c>
      <c r="N100" s="218" t="s">
        <v>1979</v>
      </c>
      <c r="O100" s="219" t="s">
        <v>587</v>
      </c>
      <c r="P100" s="218" t="s">
        <v>621</v>
      </c>
      <c r="Q100" s="218" t="s">
        <v>622</v>
      </c>
      <c r="R100" s="216">
        <v>2282208</v>
      </c>
      <c r="S100" s="212" t="s">
        <v>623</v>
      </c>
      <c r="T100" s="213" t="s">
        <v>49</v>
      </c>
      <c r="U100" s="214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7">
        <f t="shared" si="2"/>
        <v>95</v>
      </c>
      <c r="L101" s="215" t="str">
        <f t="shared" si="3"/>
        <v>22371VISOKO GOSPODARSKO UČILIŠTE U KRIŽEVCIMA</v>
      </c>
      <c r="M101" s="215">
        <v>22371</v>
      </c>
      <c r="N101" s="218" t="s">
        <v>624</v>
      </c>
      <c r="O101" s="219" t="s">
        <v>587</v>
      </c>
      <c r="P101" s="218" t="s">
        <v>625</v>
      </c>
      <c r="Q101" s="218" t="s">
        <v>626</v>
      </c>
      <c r="R101" s="216">
        <v>1411942</v>
      </c>
      <c r="S101" s="212" t="s">
        <v>627</v>
      </c>
      <c r="T101" s="213" t="s">
        <v>49</v>
      </c>
      <c r="U101" s="214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7">
        <f t="shared" si="2"/>
        <v>96</v>
      </c>
      <c r="L102" s="215" t="str">
        <f t="shared" si="3"/>
        <v>22832ZDRAVSTVENO VELEUČILIŠTE</v>
      </c>
      <c r="M102" s="215">
        <v>22832</v>
      </c>
      <c r="N102" s="218" t="s">
        <v>628</v>
      </c>
      <c r="O102" s="219" t="s">
        <v>587</v>
      </c>
      <c r="P102" s="218" t="s">
        <v>629</v>
      </c>
      <c r="Q102" s="218" t="s">
        <v>370</v>
      </c>
      <c r="R102" s="216">
        <v>1274597</v>
      </c>
      <c r="S102" s="212" t="s">
        <v>630</v>
      </c>
      <c r="T102" s="213" t="s">
        <v>49</v>
      </c>
      <c r="U102" s="214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7">
        <f t="shared" si="2"/>
        <v>97</v>
      </c>
      <c r="L103" s="215" t="str">
        <f t="shared" si="3"/>
        <v>2918EKONOMSKI INSTITUT ZAGREB</v>
      </c>
      <c r="M103" s="215">
        <v>2918</v>
      </c>
      <c r="N103" s="218" t="s">
        <v>632</v>
      </c>
      <c r="O103" s="219" t="s">
        <v>587</v>
      </c>
      <c r="P103" s="218" t="s">
        <v>633</v>
      </c>
      <c r="Q103" s="218" t="s">
        <v>370</v>
      </c>
      <c r="R103" s="216">
        <v>3219925</v>
      </c>
      <c r="S103" s="212" t="s">
        <v>634</v>
      </c>
      <c r="T103" s="213" t="s">
        <v>755</v>
      </c>
      <c r="U103" s="214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7">
        <f t="shared" si="2"/>
        <v>98</v>
      </c>
      <c r="L104" s="215" t="str">
        <f t="shared" si="3"/>
        <v xml:space="preserve">22525HRVATSKI GEOLOŠKI INSTITUT </v>
      </c>
      <c r="M104" s="215">
        <v>22525</v>
      </c>
      <c r="N104" s="218" t="s">
        <v>662</v>
      </c>
      <c r="O104" s="219" t="s">
        <v>587</v>
      </c>
      <c r="P104" s="218" t="s">
        <v>663</v>
      </c>
      <c r="Q104" s="218" t="s">
        <v>370</v>
      </c>
      <c r="R104" s="216">
        <v>3219518</v>
      </c>
      <c r="S104" s="212" t="s">
        <v>664</v>
      </c>
      <c r="T104" s="213" t="s">
        <v>755</v>
      </c>
      <c r="U104" s="214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7">
        <f t="shared" si="2"/>
        <v>99</v>
      </c>
      <c r="L105" s="215" t="str">
        <f t="shared" si="3"/>
        <v>2934HRVATSKI INSTITUT ZA POVIJEST</v>
      </c>
      <c r="M105" s="215">
        <v>2934</v>
      </c>
      <c r="N105" s="218" t="s">
        <v>635</v>
      </c>
      <c r="O105" s="219" t="s">
        <v>587</v>
      </c>
      <c r="P105" s="218" t="s">
        <v>636</v>
      </c>
      <c r="Q105" s="218" t="s">
        <v>370</v>
      </c>
      <c r="R105" s="216">
        <v>3207153</v>
      </c>
      <c r="S105" s="212" t="s">
        <v>637</v>
      </c>
      <c r="T105" s="213" t="s">
        <v>755</v>
      </c>
      <c r="U105" s="214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7">
        <f t="shared" si="2"/>
        <v>100</v>
      </c>
      <c r="L106" s="215" t="str">
        <f t="shared" si="3"/>
        <v>2967HRVATSKI ŠUMARSKI INSTITUT</v>
      </c>
      <c r="M106" s="215">
        <v>2967</v>
      </c>
      <c r="N106" s="218" t="s">
        <v>697</v>
      </c>
      <c r="O106" s="219" t="s">
        <v>587</v>
      </c>
      <c r="P106" s="218" t="s">
        <v>698</v>
      </c>
      <c r="Q106" s="218" t="s">
        <v>699</v>
      </c>
      <c r="R106" s="216">
        <v>3115879</v>
      </c>
      <c r="S106" s="212" t="s">
        <v>700</v>
      </c>
      <c r="T106" s="213" t="s">
        <v>755</v>
      </c>
      <c r="U106" s="214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7">
        <f t="shared" si="2"/>
        <v>101</v>
      </c>
      <c r="L107" s="215" t="str">
        <f t="shared" si="3"/>
        <v>2983HRVATSKI VETERINARSKI INSTITUT</v>
      </c>
      <c r="M107" s="215">
        <v>2983</v>
      </c>
      <c r="N107" s="218" t="s">
        <v>638</v>
      </c>
      <c r="O107" s="219" t="s">
        <v>587</v>
      </c>
      <c r="P107" s="218" t="s">
        <v>639</v>
      </c>
      <c r="Q107" s="218" t="s">
        <v>370</v>
      </c>
      <c r="R107" s="216">
        <v>3274098</v>
      </c>
      <c r="S107" s="212" t="s">
        <v>640</v>
      </c>
      <c r="T107" s="213" t="s">
        <v>755</v>
      </c>
      <c r="U107" s="214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7">
        <f t="shared" si="2"/>
        <v>102</v>
      </c>
      <c r="L108" s="215" t="str">
        <f t="shared" si="3"/>
        <v>3105INSTITUT DRUŠTVENIH ZNANOSTI IVO PILAR</v>
      </c>
      <c r="M108" s="215">
        <v>3105</v>
      </c>
      <c r="N108" s="218" t="s">
        <v>641</v>
      </c>
      <c r="O108" s="219" t="s">
        <v>587</v>
      </c>
      <c r="P108" s="218" t="s">
        <v>642</v>
      </c>
      <c r="Q108" s="218" t="s">
        <v>370</v>
      </c>
      <c r="R108" s="216">
        <v>3793028</v>
      </c>
      <c r="S108" s="212" t="s">
        <v>643</v>
      </c>
      <c r="T108" s="213" t="s">
        <v>755</v>
      </c>
      <c r="U108" s="214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7">
        <f t="shared" si="2"/>
        <v>103</v>
      </c>
      <c r="L109" s="215" t="str">
        <f t="shared" si="3"/>
        <v>3041INSTITUT RUĐER BOŠKOVIĆ</v>
      </c>
      <c r="M109" s="215">
        <v>3041</v>
      </c>
      <c r="N109" s="218" t="s">
        <v>644</v>
      </c>
      <c r="O109" s="219" t="s">
        <v>587</v>
      </c>
      <c r="P109" s="218" t="s">
        <v>645</v>
      </c>
      <c r="Q109" s="218" t="s">
        <v>370</v>
      </c>
      <c r="R109" s="216">
        <v>3270289</v>
      </c>
      <c r="S109" s="212" t="s">
        <v>646</v>
      </c>
      <c r="T109" s="213" t="s">
        <v>755</v>
      </c>
      <c r="U109" s="214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7">
        <f t="shared" si="2"/>
        <v>104</v>
      </c>
      <c r="L110" s="215" t="str">
        <f t="shared" si="3"/>
        <v>3113INSTITUT ZA ANTROPOLOGIJU</v>
      </c>
      <c r="M110" s="215">
        <v>3113</v>
      </c>
      <c r="N110" s="218" t="s">
        <v>647</v>
      </c>
      <c r="O110" s="219" t="s">
        <v>587</v>
      </c>
      <c r="P110" s="218" t="s">
        <v>648</v>
      </c>
      <c r="Q110" s="218" t="s">
        <v>370</v>
      </c>
      <c r="R110" s="216">
        <v>3817121</v>
      </c>
      <c r="S110" s="212" t="s">
        <v>649</v>
      </c>
      <c r="T110" s="213" t="s">
        <v>755</v>
      </c>
      <c r="U110" s="214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7">
        <f t="shared" si="2"/>
        <v>105</v>
      </c>
      <c r="L111" s="215" t="str">
        <f t="shared" si="3"/>
        <v>3121INSTITUT ZA ARHEOLOGIJU</v>
      </c>
      <c r="M111" s="215">
        <v>3121</v>
      </c>
      <c r="N111" s="218" t="s">
        <v>650</v>
      </c>
      <c r="O111" s="219" t="s">
        <v>587</v>
      </c>
      <c r="P111" s="218" t="s">
        <v>648</v>
      </c>
      <c r="Q111" s="218" t="s">
        <v>370</v>
      </c>
      <c r="R111" s="216">
        <v>3937658</v>
      </c>
      <c r="S111" s="212" t="s">
        <v>651</v>
      </c>
      <c r="T111" s="213" t="s">
        <v>755</v>
      </c>
      <c r="U111" s="214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7">
        <f t="shared" si="2"/>
        <v>106</v>
      </c>
      <c r="L112" s="215" t="str">
        <f t="shared" si="3"/>
        <v>3050INSTITUT ZA DRUŠTVENA ISTRAŽIVANJA</v>
      </c>
      <c r="M112" s="215">
        <v>3050</v>
      </c>
      <c r="N112" s="218" t="s">
        <v>652</v>
      </c>
      <c r="O112" s="219" t="s">
        <v>587</v>
      </c>
      <c r="P112" s="218" t="s">
        <v>653</v>
      </c>
      <c r="Q112" s="218" t="s">
        <v>370</v>
      </c>
      <c r="R112" s="216">
        <v>3205118</v>
      </c>
      <c r="S112" s="212" t="s">
        <v>654</v>
      </c>
      <c r="T112" s="213" t="s">
        <v>755</v>
      </c>
      <c r="U112" s="214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7">
        <f t="shared" si="2"/>
        <v>107</v>
      </c>
      <c r="L113" s="215" t="str">
        <f t="shared" si="3"/>
        <v>3084INSTITUT ZA ETNOLOGIJU I FOLKLORISTIKU</v>
      </c>
      <c r="M113" s="215">
        <v>3084</v>
      </c>
      <c r="N113" s="218" t="s">
        <v>655</v>
      </c>
      <c r="O113" s="219" t="s">
        <v>587</v>
      </c>
      <c r="P113" s="218" t="s">
        <v>656</v>
      </c>
      <c r="Q113" s="218" t="s">
        <v>370</v>
      </c>
      <c r="R113" s="216">
        <v>3724042</v>
      </c>
      <c r="S113" s="212" t="s">
        <v>657</v>
      </c>
      <c r="T113" s="213" t="s">
        <v>755</v>
      </c>
      <c r="U113" s="214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7">
        <f t="shared" si="2"/>
        <v>108</v>
      </c>
      <c r="L114" s="215" t="str">
        <f t="shared" si="3"/>
        <v>3092INSTITUT ZA FILOZOFIJU</v>
      </c>
      <c r="M114" s="215">
        <v>3092</v>
      </c>
      <c r="N114" s="218" t="s">
        <v>658</v>
      </c>
      <c r="O114" s="219" t="s">
        <v>587</v>
      </c>
      <c r="P114" s="218" t="s">
        <v>1937</v>
      </c>
      <c r="Q114" s="218" t="s">
        <v>370</v>
      </c>
      <c r="R114" s="216">
        <v>3772047</v>
      </c>
      <c r="S114" s="212" t="s">
        <v>659</v>
      </c>
      <c r="T114" s="213" t="s">
        <v>755</v>
      </c>
      <c r="U114" s="214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7">
        <f t="shared" si="2"/>
        <v>109</v>
      </c>
      <c r="L115" s="215" t="str">
        <f t="shared" si="3"/>
        <v>2975INSTITUT ZA FIZIKU</v>
      </c>
      <c r="M115" s="215">
        <v>2975</v>
      </c>
      <c r="N115" s="218" t="s">
        <v>660</v>
      </c>
      <c r="O115" s="219" t="s">
        <v>587</v>
      </c>
      <c r="P115" s="218" t="s">
        <v>645</v>
      </c>
      <c r="Q115" s="218" t="s">
        <v>370</v>
      </c>
      <c r="R115" s="216">
        <v>3270424</v>
      </c>
      <c r="S115" s="212" t="s">
        <v>661</v>
      </c>
      <c r="T115" s="213" t="s">
        <v>755</v>
      </c>
      <c r="U115" s="214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7">
        <f t="shared" si="2"/>
        <v>110</v>
      </c>
      <c r="L116" s="215" t="str">
        <f t="shared" si="3"/>
        <v>21061INSTITUT ZA HRVATSKI JEZIK I JEZIKOSLOVLJE</v>
      </c>
      <c r="M116" s="215">
        <v>21061</v>
      </c>
      <c r="N116" s="218" t="s">
        <v>665</v>
      </c>
      <c r="O116" s="219" t="s">
        <v>587</v>
      </c>
      <c r="P116" s="218" t="s">
        <v>666</v>
      </c>
      <c r="Q116" s="218" t="s">
        <v>370</v>
      </c>
      <c r="R116" s="216">
        <v>1259571</v>
      </c>
      <c r="S116" s="212" t="s">
        <v>667</v>
      </c>
      <c r="T116" s="213" t="s">
        <v>755</v>
      </c>
      <c r="U116" s="214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7">
        <f t="shared" si="2"/>
        <v>111</v>
      </c>
      <c r="L117" s="215" t="str">
        <f t="shared" si="3"/>
        <v>3025INSTITUT ZA JADRANSKE KULTURE I MELIORACIJU KRŠA</v>
      </c>
      <c r="M117" s="215">
        <v>3025</v>
      </c>
      <c r="N117" s="218" t="s">
        <v>668</v>
      </c>
      <c r="O117" s="219" t="s">
        <v>587</v>
      </c>
      <c r="P117" s="218" t="s">
        <v>669</v>
      </c>
      <c r="Q117" s="218" t="s">
        <v>455</v>
      </c>
      <c r="R117" s="216">
        <v>3140792</v>
      </c>
      <c r="S117" s="212" t="s">
        <v>670</v>
      </c>
      <c r="T117" s="213" t="s">
        <v>755</v>
      </c>
      <c r="U117" s="214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7">
        <f t="shared" si="2"/>
        <v>112</v>
      </c>
      <c r="L118" s="215" t="str">
        <f t="shared" si="3"/>
        <v>23286INSTITUT ZA JAVNE FINANCIJE</v>
      </c>
      <c r="M118" s="215">
        <v>23286</v>
      </c>
      <c r="N118" s="218" t="s">
        <v>671</v>
      </c>
      <c r="O118" s="219" t="s">
        <v>587</v>
      </c>
      <c r="P118" s="218" t="s">
        <v>672</v>
      </c>
      <c r="Q118" s="218" t="s">
        <v>370</v>
      </c>
      <c r="R118" s="216">
        <v>3226344</v>
      </c>
      <c r="S118" s="212" t="s">
        <v>673</v>
      </c>
      <c r="T118" s="213" t="s">
        <v>755</v>
      </c>
      <c r="U118" s="214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7">
        <f t="shared" si="2"/>
        <v>113</v>
      </c>
      <c r="L119" s="215" t="str">
        <f t="shared" si="3"/>
        <v>2959INSTITUT ZA MEDICINSKA ISTRAŽIVANJA I MEDICINU RADA</v>
      </c>
      <c r="M119" s="215">
        <v>2959</v>
      </c>
      <c r="N119" s="218" t="s">
        <v>674</v>
      </c>
      <c r="O119" s="219" t="s">
        <v>587</v>
      </c>
      <c r="P119" s="218" t="s">
        <v>675</v>
      </c>
      <c r="Q119" s="218" t="s">
        <v>370</v>
      </c>
      <c r="R119" s="216">
        <v>3270475</v>
      </c>
      <c r="S119" s="212" t="s">
        <v>676</v>
      </c>
      <c r="T119" s="213" t="s">
        <v>755</v>
      </c>
      <c r="U119" s="214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7">
        <f t="shared" si="2"/>
        <v>114</v>
      </c>
      <c r="L120" s="215" t="str">
        <f t="shared" si="3"/>
        <v>3009INSTITUT ZA MIGRACIJE I NARODNOSTI</v>
      </c>
      <c r="M120" s="215">
        <v>3009</v>
      </c>
      <c r="N120" s="218" t="s">
        <v>679</v>
      </c>
      <c r="O120" s="219" t="s">
        <v>587</v>
      </c>
      <c r="P120" s="218" t="s">
        <v>680</v>
      </c>
      <c r="Q120" s="218" t="s">
        <v>370</v>
      </c>
      <c r="R120" s="216">
        <v>3287572</v>
      </c>
      <c r="S120" s="212" t="s">
        <v>681</v>
      </c>
      <c r="T120" s="213" t="s">
        <v>755</v>
      </c>
      <c r="U120" s="214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7">
        <f t="shared" si="2"/>
        <v>115</v>
      </c>
      <c r="L121" s="215" t="str">
        <f t="shared" si="3"/>
        <v>2900INSTITUT ZA OCEANOGRAFIJU I RIBARSTVO</v>
      </c>
      <c r="M121" s="215">
        <v>2900</v>
      </c>
      <c r="N121" s="218" t="s">
        <v>682</v>
      </c>
      <c r="O121" s="219" t="s">
        <v>587</v>
      </c>
      <c r="P121" s="218" t="s">
        <v>1939</v>
      </c>
      <c r="Q121" s="218" t="s">
        <v>455</v>
      </c>
      <c r="R121" s="216">
        <v>3118355</v>
      </c>
      <c r="S121" s="212" t="s">
        <v>683</v>
      </c>
      <c r="T121" s="213" t="s">
        <v>755</v>
      </c>
      <c r="U121" s="214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7">
        <f t="shared" si="2"/>
        <v>116</v>
      </c>
      <c r="L122" s="215" t="str">
        <f t="shared" si="3"/>
        <v>3076INSTITUT ZA POLJOPRIVREDU I TURIZAM</v>
      </c>
      <c r="M122" s="215">
        <v>3076</v>
      </c>
      <c r="N122" s="218" t="s">
        <v>684</v>
      </c>
      <c r="O122" s="219" t="s">
        <v>587</v>
      </c>
      <c r="P122" s="218" t="s">
        <v>685</v>
      </c>
      <c r="Q122" s="218" t="s">
        <v>686</v>
      </c>
      <c r="R122" s="216">
        <v>3421031</v>
      </c>
      <c r="S122" s="212" t="s">
        <v>687</v>
      </c>
      <c r="T122" s="213" t="s">
        <v>755</v>
      </c>
      <c r="U122" s="214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7">
        <f t="shared" si="2"/>
        <v>117</v>
      </c>
      <c r="L123" s="215" t="str">
        <f t="shared" si="3"/>
        <v>2942INSTITUT ZA POVIJEST UMJETNOSTI</v>
      </c>
      <c r="M123" s="215">
        <v>2942</v>
      </c>
      <c r="N123" s="218" t="s">
        <v>688</v>
      </c>
      <c r="O123" s="219" t="s">
        <v>587</v>
      </c>
      <c r="P123" s="218" t="s">
        <v>689</v>
      </c>
      <c r="Q123" s="218" t="s">
        <v>370</v>
      </c>
      <c r="R123" s="216">
        <v>1339958</v>
      </c>
      <c r="S123" s="212" t="s">
        <v>690</v>
      </c>
      <c r="T123" s="213" t="s">
        <v>755</v>
      </c>
      <c r="U123" s="214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7">
        <f t="shared" si="2"/>
        <v>118</v>
      </c>
      <c r="L124" s="215" t="str">
        <f t="shared" si="3"/>
        <v>22621INSTITUT ZA RAZVOJ I MEĐUNARODNE ODNOSE</v>
      </c>
      <c r="M124" s="215">
        <v>22621</v>
      </c>
      <c r="N124" s="218" t="s">
        <v>677</v>
      </c>
      <c r="O124" s="219" t="s">
        <v>587</v>
      </c>
      <c r="P124" s="218" t="s">
        <v>1938</v>
      </c>
      <c r="Q124" s="218" t="s">
        <v>370</v>
      </c>
      <c r="R124" s="216">
        <v>3205177</v>
      </c>
      <c r="S124" s="212" t="s">
        <v>678</v>
      </c>
      <c r="T124" s="213" t="s">
        <v>755</v>
      </c>
      <c r="U124" s="214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7">
        <f t="shared" si="2"/>
        <v>119</v>
      </c>
      <c r="L125" s="215" t="str">
        <f t="shared" si="3"/>
        <v>3068INSTITUT ZA TURIZAM</v>
      </c>
      <c r="M125" s="215">
        <v>3068</v>
      </c>
      <c r="N125" s="218" t="s">
        <v>691</v>
      </c>
      <c r="O125" s="219" t="s">
        <v>587</v>
      </c>
      <c r="P125" s="218" t="s">
        <v>692</v>
      </c>
      <c r="Q125" s="218" t="s">
        <v>370</v>
      </c>
      <c r="R125" s="216">
        <v>3208001</v>
      </c>
      <c r="S125" s="212" t="s">
        <v>693</v>
      </c>
      <c r="T125" s="213" t="s">
        <v>755</v>
      </c>
      <c r="U125" s="214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7">
        <f t="shared" si="2"/>
        <v>120</v>
      </c>
      <c r="L126" s="215" t="str">
        <f t="shared" si="3"/>
        <v>2991POLJOPRIVREDNI INSTITUT OSIJEK</v>
      </c>
      <c r="M126" s="215">
        <v>2991</v>
      </c>
      <c r="N126" s="218" t="s">
        <v>1940</v>
      </c>
      <c r="O126" s="219" t="s">
        <v>587</v>
      </c>
      <c r="P126" s="218" t="s">
        <v>1941</v>
      </c>
      <c r="Q126" s="218" t="s">
        <v>373</v>
      </c>
      <c r="R126" s="216">
        <v>3058239</v>
      </c>
      <c r="S126" s="212" t="s">
        <v>1942</v>
      </c>
      <c r="T126" s="213" t="s">
        <v>755</v>
      </c>
      <c r="U126" s="214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7">
        <f t="shared" si="2"/>
        <v>121</v>
      </c>
      <c r="L127" s="215" t="str">
        <f t="shared" si="3"/>
        <v>21070STAROSLAVENSKI INSTITUT</v>
      </c>
      <c r="M127" s="215">
        <v>21070</v>
      </c>
      <c r="N127" s="218" t="s">
        <v>694</v>
      </c>
      <c r="O127" s="219" t="s">
        <v>587</v>
      </c>
      <c r="P127" s="218" t="s">
        <v>695</v>
      </c>
      <c r="Q127" s="218" t="s">
        <v>370</v>
      </c>
      <c r="R127" s="216">
        <v>1259563</v>
      </c>
      <c r="S127" s="212" t="s">
        <v>696</v>
      </c>
      <c r="T127" s="213" t="s">
        <v>755</v>
      </c>
      <c r="U127" s="214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7">
        <f t="shared" si="2"/>
        <v>122</v>
      </c>
      <c r="L128" s="215" t="str">
        <f t="shared" si="3"/>
        <v>6179DRŽAVNI ZAVOD ZA INTELEKTUALNO VLASNIŠTVO</v>
      </c>
      <c r="M128" s="215">
        <v>6179</v>
      </c>
      <c r="N128" s="218" t="s">
        <v>702</v>
      </c>
      <c r="O128" s="219" t="s">
        <v>587</v>
      </c>
      <c r="P128" s="224" t="s">
        <v>703</v>
      </c>
      <c r="Q128" s="218" t="s">
        <v>370</v>
      </c>
      <c r="R128" s="216">
        <v>3899772</v>
      </c>
      <c r="S128" s="212" t="s">
        <v>704</v>
      </c>
      <c r="T128" s="213" t="s">
        <v>1943</v>
      </c>
      <c r="U128" s="214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7">
        <f t="shared" si="2"/>
        <v>123</v>
      </c>
      <c r="L129" s="215" t="str">
        <f t="shared" si="3"/>
        <v>43335AGENCIJA ZA MOBILNOST I PROGRAME EUROPSKE UNIJE</v>
      </c>
      <c r="M129" s="215">
        <v>43335</v>
      </c>
      <c r="N129" s="218" t="s">
        <v>723</v>
      </c>
      <c r="O129" s="219" t="s">
        <v>587</v>
      </c>
      <c r="P129" s="224" t="s">
        <v>712</v>
      </c>
      <c r="Q129" s="218" t="s">
        <v>370</v>
      </c>
      <c r="R129" s="216">
        <v>2298007</v>
      </c>
      <c r="S129" s="212" t="s">
        <v>724</v>
      </c>
      <c r="T129" s="213" t="s">
        <v>728</v>
      </c>
      <c r="U129" s="214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7">
        <f t="shared" si="2"/>
        <v>124</v>
      </c>
      <c r="L130" s="215" t="str">
        <f t="shared" si="3"/>
        <v>23962AGENCIJA ZA ODGOJ I OBRAZOVANJE</v>
      </c>
      <c r="M130" s="215">
        <v>23962</v>
      </c>
      <c r="N130" s="218" t="s">
        <v>716</v>
      </c>
      <c r="O130" s="219" t="s">
        <v>587</v>
      </c>
      <c r="P130" s="224" t="s">
        <v>369</v>
      </c>
      <c r="Q130" s="218" t="s">
        <v>370</v>
      </c>
      <c r="R130" s="216">
        <v>1778129</v>
      </c>
      <c r="S130" s="212" t="s">
        <v>717</v>
      </c>
      <c r="T130" s="213" t="s">
        <v>728</v>
      </c>
      <c r="U130" s="214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7">
        <f t="shared" si="2"/>
        <v>125</v>
      </c>
      <c r="L131" s="215" t="str">
        <f t="shared" si="3"/>
        <v>46173AGENCIJA ZA STRUKOVNO OBRAZOVANJE I OBRAZOVANJE ODRASLIH</v>
      </c>
      <c r="M131" s="215">
        <v>46173</v>
      </c>
      <c r="N131" s="218" t="s">
        <v>725</v>
      </c>
      <c r="O131" s="219" t="s">
        <v>587</v>
      </c>
      <c r="P131" s="224" t="s">
        <v>1980</v>
      </c>
      <c r="Q131" s="218" t="s">
        <v>370</v>
      </c>
      <c r="R131" s="216">
        <v>2650029</v>
      </c>
      <c r="S131" s="212" t="s">
        <v>726</v>
      </c>
      <c r="T131" s="213" t="s">
        <v>728</v>
      </c>
      <c r="U131" s="214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7">
        <f t="shared" si="2"/>
        <v>126</v>
      </c>
      <c r="L132" s="215" t="str">
        <f t="shared" si="3"/>
        <v>38487AGENCIJA ZA ZNANOST I VISOKO OBRAZOVANJE</v>
      </c>
      <c r="M132" s="215">
        <v>38487</v>
      </c>
      <c r="N132" s="218" t="s">
        <v>718</v>
      </c>
      <c r="O132" s="219" t="s">
        <v>587</v>
      </c>
      <c r="P132" s="218" t="s">
        <v>719</v>
      </c>
      <c r="Q132" s="218" t="s">
        <v>370</v>
      </c>
      <c r="R132" s="216">
        <v>1922548</v>
      </c>
      <c r="S132" s="212" t="s">
        <v>720</v>
      </c>
      <c r="T132" s="213" t="s">
        <v>728</v>
      </c>
      <c r="U132" s="214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7">
        <f t="shared" si="2"/>
        <v>127</v>
      </c>
      <c r="L133" s="215" t="str">
        <f t="shared" si="3"/>
        <v>21852HRVATSKA AKADEMSKA I ISTRAŽIVAČKA MREŽA - CARNET</v>
      </c>
      <c r="M133" s="215">
        <v>21852</v>
      </c>
      <c r="N133" s="218" t="s">
        <v>708</v>
      </c>
      <c r="O133" s="219" t="s">
        <v>587</v>
      </c>
      <c r="P133" s="224" t="s">
        <v>709</v>
      </c>
      <c r="Q133" s="218" t="s">
        <v>370</v>
      </c>
      <c r="R133" s="216">
        <v>1147820</v>
      </c>
      <c r="S133" s="212" t="s">
        <v>710</v>
      </c>
      <c r="T133" s="213" t="s">
        <v>728</v>
      </c>
      <c r="U133" s="214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7">
        <f t="shared" ref="K134:K137" si="4">+K133+1</f>
        <v>128</v>
      </c>
      <c r="L134" s="215" t="str">
        <f t="shared" si="3"/>
        <v>21869LEKSIKOGRAFSKI ZAVOD MIROSLAV KRLEŽA</v>
      </c>
      <c r="M134" s="215">
        <v>21869</v>
      </c>
      <c r="N134" s="218" t="s">
        <v>711</v>
      </c>
      <c r="O134" s="219" t="s">
        <v>587</v>
      </c>
      <c r="P134" s="224" t="s">
        <v>712</v>
      </c>
      <c r="Q134" s="218" t="s">
        <v>370</v>
      </c>
      <c r="R134" s="216">
        <v>3211622</v>
      </c>
      <c r="S134" s="212" t="s">
        <v>713</v>
      </c>
      <c r="T134" s="213" t="s">
        <v>728</v>
      </c>
      <c r="U134" s="214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7">
        <f t="shared" si="4"/>
        <v>129</v>
      </c>
      <c r="L135" s="215" t="str">
        <f t="shared" si="3"/>
        <v>21836NACIONALNA I SVEUČILIŠNA KNJIŽNICA U ZAGREBU</v>
      </c>
      <c r="M135" s="215">
        <v>21836</v>
      </c>
      <c r="N135" s="218" t="s">
        <v>705</v>
      </c>
      <c r="O135" s="219" t="s">
        <v>587</v>
      </c>
      <c r="P135" s="224" t="s">
        <v>706</v>
      </c>
      <c r="Q135" s="218" t="s">
        <v>370</v>
      </c>
      <c r="R135" s="216">
        <v>3205363</v>
      </c>
      <c r="S135" s="212" t="s">
        <v>707</v>
      </c>
      <c r="T135" s="213" t="s">
        <v>728</v>
      </c>
      <c r="U135" s="214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7">
        <f t="shared" si="4"/>
        <v>130</v>
      </c>
      <c r="L136" s="215" t="str">
        <f t="shared" ref="L136:L137" si="5">M136&amp;""&amp;N136</f>
        <v>40883NACIONALNI CENTAR ZA VANJSKO VREDNOVANJE OBRAZOVANJA</v>
      </c>
      <c r="M136" s="215">
        <v>40883</v>
      </c>
      <c r="N136" s="218" t="s">
        <v>721</v>
      </c>
      <c r="O136" s="219" t="s">
        <v>587</v>
      </c>
      <c r="P136" s="224" t="s">
        <v>1981</v>
      </c>
      <c r="Q136" s="218" t="s">
        <v>1982</v>
      </c>
      <c r="R136" s="216">
        <v>1943430</v>
      </c>
      <c r="S136" s="212" t="s">
        <v>722</v>
      </c>
      <c r="T136" s="213" t="s">
        <v>728</v>
      </c>
      <c r="U136" s="214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7">
        <f t="shared" si="4"/>
        <v>131</v>
      </c>
      <c r="L137" s="215" t="str">
        <f t="shared" si="5"/>
        <v>23665SVEUČILIŠTE U ZAGREBU - SVEUČILIŠNI RAČUNSKI CENTAR - SRCE</v>
      </c>
      <c r="M137" s="215">
        <v>23665</v>
      </c>
      <c r="N137" s="218" t="s">
        <v>714</v>
      </c>
      <c r="O137" s="219" t="s">
        <v>587</v>
      </c>
      <c r="P137" s="224" t="s">
        <v>709</v>
      </c>
      <c r="Q137" s="218" t="s">
        <v>370</v>
      </c>
      <c r="R137" s="216">
        <v>3283020</v>
      </c>
      <c r="S137" s="212" t="s">
        <v>715</v>
      </c>
      <c r="T137" s="213" t="s">
        <v>728</v>
      </c>
      <c r="U137" s="214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G4" sqref="G4: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8" t="s">
        <v>732</v>
      </c>
      <c r="B1" s="268"/>
      <c r="C1" s="268"/>
      <c r="D1" s="268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8813656</v>
      </c>
      <c r="H3" s="182">
        <v>8837113</v>
      </c>
      <c r="I3" s="182">
        <v>8873187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52</v>
      </c>
      <c r="D4" s="136" t="str">
        <f t="shared" ref="D4:D67" si="1">IFERROR(VLOOKUP(E4,$Q$6:$T$105,4,FALSE),"")</f>
        <v xml:space="preserve">Ostale pomoći i darovnice </v>
      </c>
      <c r="E4" s="148">
        <v>6391</v>
      </c>
      <c r="F4" s="188" t="str">
        <f t="shared" ref="F4:F67" si="2">IFERROR(VLOOKUP(E4,$Q$6:$T$105,2,FALSE),"")</f>
        <v>Tekući prijenosi između proračunskih korisnika istog proračuna</v>
      </c>
      <c r="G4" s="182">
        <v>65000</v>
      </c>
      <c r="H4" s="182">
        <v>65000</v>
      </c>
      <c r="I4" s="182">
        <v>65000</v>
      </c>
      <c r="K4" s="139" t="str">
        <f t="shared" ref="K4:K67" si="3">LEFT(E4,3)</f>
        <v>639</v>
      </c>
      <c r="L4" s="139" t="str">
        <f t="shared" ref="L4:L67" si="4">LEFT(E4,2)</f>
        <v>63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43</v>
      </c>
      <c r="D5" s="136" t="str">
        <f t="shared" si="1"/>
        <v>Ostali prihodi za posebne namjene</v>
      </c>
      <c r="E5" s="148">
        <v>65264</v>
      </c>
      <c r="F5" s="188" t="str">
        <f t="shared" si="2"/>
        <v>Sufinanciranje cijene usluge, participacije i slično</v>
      </c>
      <c r="G5" s="182">
        <v>850000</v>
      </c>
      <c r="H5" s="182">
        <v>850000</v>
      </c>
      <c r="I5" s="182">
        <v>850000</v>
      </c>
      <c r="K5" s="139" t="str">
        <f t="shared" si="3"/>
        <v>652</v>
      </c>
      <c r="L5" s="139" t="str">
        <f t="shared" si="4"/>
        <v>65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31</v>
      </c>
      <c r="D6" s="136" t="str">
        <f t="shared" si="1"/>
        <v>Vlastiti prihodi</v>
      </c>
      <c r="E6" s="148">
        <v>6615</v>
      </c>
      <c r="F6" s="188" t="str">
        <f t="shared" si="2"/>
        <v>Prihodi od pruženih usluga</v>
      </c>
      <c r="G6" s="182">
        <v>30000</v>
      </c>
      <c r="H6" s="182">
        <v>40000</v>
      </c>
      <c r="I6" s="182">
        <v>50000</v>
      </c>
      <c r="K6" s="139" t="str">
        <f t="shared" si="3"/>
        <v>661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/>
      </c>
      <c r="B7" s="137" t="str">
        <f>IF(E7="","",VLOOKUP('Opći dio'!$C$3,'Opći dio'!$L$6:$U$137,9,FALSE))</f>
        <v/>
      </c>
      <c r="C7" s="184" t="str">
        <f t="shared" si="0"/>
        <v/>
      </c>
      <c r="D7" s="136" t="str">
        <f t="shared" si="1"/>
        <v/>
      </c>
      <c r="E7" s="148"/>
      <c r="F7" s="188" t="str">
        <f t="shared" si="2"/>
        <v/>
      </c>
      <c r="G7" s="182"/>
      <c r="H7" s="182"/>
      <c r="I7" s="182"/>
      <c r="K7" s="139" t="str">
        <f t="shared" si="3"/>
        <v/>
      </c>
      <c r="L7" s="139" t="str">
        <f t="shared" si="4"/>
        <v/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/>
      </c>
      <c r="B8" s="137" t="str">
        <f>IF(E8="","",VLOOKUP('Opći dio'!$C$3,'Opći dio'!$L$6:$U$137,9,FALSE))</f>
        <v/>
      </c>
      <c r="C8" s="184" t="str">
        <f t="shared" si="0"/>
        <v/>
      </c>
      <c r="D8" s="136" t="str">
        <f t="shared" si="1"/>
        <v/>
      </c>
      <c r="E8" s="148"/>
      <c r="F8" s="188" t="str">
        <f t="shared" si="2"/>
        <v/>
      </c>
      <c r="G8" s="182"/>
      <c r="H8" s="182"/>
      <c r="I8" s="182"/>
      <c r="K8" s="139" t="str">
        <f t="shared" si="3"/>
        <v/>
      </c>
      <c r="L8" s="139" t="str">
        <f t="shared" si="4"/>
        <v/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/>
      </c>
      <c r="B9" s="137" t="str">
        <f>IF(E9="","",VLOOKUP('Opći dio'!$C$3,'Opći dio'!$L$6:$U$137,9,FALSE))</f>
        <v/>
      </c>
      <c r="C9" s="184" t="str">
        <f t="shared" si="0"/>
        <v/>
      </c>
      <c r="D9" s="136" t="str">
        <f t="shared" si="1"/>
        <v/>
      </c>
      <c r="E9" s="148"/>
      <c r="F9" s="188" t="str">
        <f t="shared" si="2"/>
        <v/>
      </c>
      <c r="G9" s="182"/>
      <c r="H9" s="182"/>
      <c r="I9" s="182"/>
      <c r="K9" s="139" t="str">
        <f t="shared" si="3"/>
        <v/>
      </c>
      <c r="L9" s="139" t="str">
        <f t="shared" si="4"/>
        <v/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/>
      </c>
      <c r="B10" s="137" t="str">
        <f>IF(E10="","",VLOOKUP('Opći dio'!$C$3,'Opći dio'!$L$6:$U$137,9,FALSE))</f>
        <v/>
      </c>
      <c r="C10" s="184" t="str">
        <f t="shared" si="0"/>
        <v/>
      </c>
      <c r="D10" s="136" t="str">
        <f t="shared" si="1"/>
        <v/>
      </c>
      <c r="E10" s="148"/>
      <c r="F10" s="188" t="str">
        <f t="shared" si="2"/>
        <v/>
      </c>
      <c r="G10" s="182"/>
      <c r="H10" s="182"/>
      <c r="I10" s="182"/>
      <c r="K10" s="139" t="str">
        <f t="shared" si="3"/>
        <v/>
      </c>
      <c r="L10" s="139" t="str">
        <f t="shared" si="4"/>
        <v/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2">
        <v>576</v>
      </c>
      <c r="N19" s="238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09">
        <v>581</v>
      </c>
      <c r="N20" s="210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1">
        <v>83</v>
      </c>
      <c r="N24" s="241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24" activePane="bottomLeft" state="frozen"/>
      <selection pane="bottomLeft" activeCell="K41" sqref="K41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69" t="s">
        <v>731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76</v>
      </c>
      <c r="H3" s="144" t="str">
        <f>IFERROR(VLOOKUP(G3,$X$6:$Y$297,2,FALSE),"")</f>
        <v>REDOVNA DJELATNOST VELEUČILIŠTA I VISOKIH ŠKOLA</v>
      </c>
      <c r="I3" s="182">
        <v>6394000</v>
      </c>
      <c r="J3" s="182">
        <v>6402181</v>
      </c>
      <c r="K3" s="182">
        <v>6423255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76</v>
      </c>
      <c r="H4" s="144" t="str">
        <f t="shared" ref="H4:H67" si="4">IFERROR(VLOOKUP(G4,$X$6:$Y$297,2,FALSE),"")</f>
        <v>REDOVNA DJELATNOST VELEUČILIŠTA I VISOKIH ŠKOLA</v>
      </c>
      <c r="I4" s="182">
        <v>109924</v>
      </c>
      <c r="J4" s="182">
        <v>110000</v>
      </c>
      <c r="K4" s="182">
        <v>110000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76</v>
      </c>
      <c r="H5" s="144" t="str">
        <f t="shared" si="4"/>
        <v>REDOVNA DJELATNOST VELEUČILIŠTA I VISOKIH ŠKOLA</v>
      </c>
      <c r="I5" s="182">
        <v>1048000</v>
      </c>
      <c r="J5" s="182">
        <v>1060000</v>
      </c>
      <c r="K5" s="182">
        <v>1065000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76</v>
      </c>
      <c r="H6" s="144" t="str">
        <f t="shared" si="4"/>
        <v>REDOVNA DJELATNOST VELEUČILIŠTA I VISOKIH ŠKOLA</v>
      </c>
      <c r="I6" s="182">
        <v>266800</v>
      </c>
      <c r="J6" s="182">
        <v>270000</v>
      </c>
      <c r="K6" s="182">
        <v>280000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/>
      </c>
      <c r="B7" s="143" t="str">
        <f>IF(C7="","",VLOOKUP('Opći dio'!$C$3,'Opći dio'!$L$6:$U$137,9,FALSE))</f>
        <v/>
      </c>
      <c r="C7" s="149"/>
      <c r="D7" s="144" t="str">
        <f t="shared" si="2"/>
        <v/>
      </c>
      <c r="E7" s="149"/>
      <c r="F7" s="144" t="str">
        <f t="shared" si="3"/>
        <v/>
      </c>
      <c r="G7" s="183"/>
      <c r="H7" s="144" t="str">
        <f t="shared" si="4"/>
        <v/>
      </c>
      <c r="I7" s="182"/>
      <c r="J7" s="182"/>
      <c r="K7" s="182"/>
      <c r="M7" s="139" t="str">
        <f t="shared" si="5"/>
        <v/>
      </c>
      <c r="N7" s="139" t="str">
        <f t="shared" si="6"/>
        <v/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3221</v>
      </c>
      <c r="F8" s="144" t="str">
        <f t="shared" si="3"/>
        <v>Uredski materijal i ostali materijalni rashodi</v>
      </c>
      <c r="G8" s="183" t="s">
        <v>775</v>
      </c>
      <c r="H8" s="144" t="str">
        <f t="shared" si="4"/>
        <v>PROGRAMSKO FINANCIRANJE JAVNIH VISOKIH UČILIŠTA</v>
      </c>
      <c r="I8" s="182">
        <v>130000</v>
      </c>
      <c r="J8" s="182">
        <v>130000</v>
      </c>
      <c r="K8" s="182">
        <v>130000</v>
      </c>
      <c r="M8" s="139" t="str">
        <f t="shared" si="5"/>
        <v>322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3222</v>
      </c>
      <c r="F9" s="144" t="str">
        <f t="shared" si="3"/>
        <v>Materijal i sirovine</v>
      </c>
      <c r="G9" s="183" t="s">
        <v>775</v>
      </c>
      <c r="H9" s="144" t="str">
        <f t="shared" si="4"/>
        <v>PROGRAMSKO FINANCIRANJE JAVNIH VISOKIH UČILIŠTA</v>
      </c>
      <c r="I9" s="182">
        <v>20000</v>
      </c>
      <c r="J9" s="182">
        <v>20000</v>
      </c>
      <c r="K9" s="182">
        <v>20000</v>
      </c>
      <c r="M9" s="139" t="str">
        <f t="shared" si="5"/>
        <v>322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3223</v>
      </c>
      <c r="F10" s="144" t="str">
        <f t="shared" si="3"/>
        <v>Energija</v>
      </c>
      <c r="G10" s="183" t="s">
        <v>775</v>
      </c>
      <c r="H10" s="144" t="str">
        <f t="shared" si="4"/>
        <v>PROGRAMSKO FINANCIRANJE JAVNIH VISOKIH UČILIŠTA</v>
      </c>
      <c r="I10" s="182">
        <v>350000</v>
      </c>
      <c r="J10" s="182">
        <v>350000</v>
      </c>
      <c r="K10" s="182">
        <v>350000</v>
      </c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3224</v>
      </c>
      <c r="F11" s="144" t="str">
        <f t="shared" si="3"/>
        <v>Materijal i dijelovi za tekuće i investicijsko održavanje</v>
      </c>
      <c r="G11" s="183" t="s">
        <v>775</v>
      </c>
      <c r="H11" s="144" t="str">
        <f t="shared" si="4"/>
        <v>PROGRAMSKO FINANCIRANJE JAVNIH VISOKIH UČILIŠTA</v>
      </c>
      <c r="I11" s="182">
        <v>80000</v>
      </c>
      <c r="J11" s="182">
        <v>80000</v>
      </c>
      <c r="K11" s="182">
        <v>80000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3232</v>
      </c>
      <c r="F12" s="144" t="str">
        <f t="shared" si="3"/>
        <v>Usluge tekućeg i investicijskog održavanja</v>
      </c>
      <c r="G12" s="183" t="s">
        <v>775</v>
      </c>
      <c r="H12" s="144" t="str">
        <f t="shared" si="4"/>
        <v>PROGRAMSKO FINANCIRANJE JAVNIH VISOKIH UČILIŠTA</v>
      </c>
      <c r="I12" s="182">
        <v>70000</v>
      </c>
      <c r="J12" s="182">
        <v>70000</v>
      </c>
      <c r="K12" s="182">
        <v>70000</v>
      </c>
      <c r="M12" s="139" t="str">
        <f t="shared" si="5"/>
        <v>323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3237</v>
      </c>
      <c r="F13" s="144" t="str">
        <f t="shared" si="3"/>
        <v>Intelektualne i osobne usluge</v>
      </c>
      <c r="G13" s="183" t="s">
        <v>775</v>
      </c>
      <c r="H13" s="144" t="str">
        <f t="shared" si="4"/>
        <v>PROGRAMSKO FINANCIRANJE JAVNIH VISOKIH UČILIŠTA</v>
      </c>
      <c r="I13" s="182">
        <v>344932</v>
      </c>
      <c r="J13" s="182">
        <v>344932</v>
      </c>
      <c r="K13" s="182">
        <v>344932</v>
      </c>
      <c r="M13" s="139" t="str">
        <f t="shared" si="5"/>
        <v>323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/>
      </c>
      <c r="B14" s="143" t="str">
        <f>IF(C14="","",VLOOKUP('Opći dio'!$C$3,'Opći dio'!$L$6:$U$137,9,FALSE))</f>
        <v/>
      </c>
      <c r="C14" s="149"/>
      <c r="D14" s="144" t="str">
        <f t="shared" si="2"/>
        <v/>
      </c>
      <c r="E14" s="149"/>
      <c r="F14" s="144" t="str">
        <f t="shared" si="3"/>
        <v/>
      </c>
      <c r="G14" s="183"/>
      <c r="H14" s="144" t="str">
        <f t="shared" si="4"/>
        <v/>
      </c>
      <c r="I14" s="182"/>
      <c r="J14" s="182"/>
      <c r="K14" s="182"/>
      <c r="M14" s="139" t="str">
        <f t="shared" si="5"/>
        <v/>
      </c>
      <c r="N14" s="139" t="str">
        <f t="shared" si="6"/>
        <v/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43</v>
      </c>
      <c r="D15" s="144" t="str">
        <f t="shared" si="2"/>
        <v>Ostali prihodi za posebne namjene</v>
      </c>
      <c r="E15" s="149">
        <v>3111</v>
      </c>
      <c r="F15" s="144" t="str">
        <f t="shared" si="3"/>
        <v>Plaće za redovan rad</v>
      </c>
      <c r="G15" s="183" t="s">
        <v>191</v>
      </c>
      <c r="H15" s="144" t="str">
        <f t="shared" si="4"/>
        <v>REDOVNA DJELATNOST VELEUČILIŠTA I VISOKIH ŠKOLA (IZ EVIDENCIJSKIH PRIHODA)</v>
      </c>
      <c r="I15" s="182">
        <v>60000</v>
      </c>
      <c r="J15" s="182">
        <v>60000</v>
      </c>
      <c r="K15" s="182">
        <v>60000</v>
      </c>
      <c r="M15" s="139" t="str">
        <f t="shared" si="5"/>
        <v>311</v>
      </c>
      <c r="N15" s="139" t="str">
        <f t="shared" si="6"/>
        <v>31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43</v>
      </c>
      <c r="D16" s="144" t="str">
        <f t="shared" si="2"/>
        <v>Ostali prihodi za posebne namjene</v>
      </c>
      <c r="E16" s="149">
        <v>3121</v>
      </c>
      <c r="F16" s="144" t="str">
        <f t="shared" si="3"/>
        <v>Ostali rashodi za zaposlene</v>
      </c>
      <c r="G16" s="183" t="s">
        <v>191</v>
      </c>
      <c r="H16" s="144" t="str">
        <f t="shared" si="4"/>
        <v>REDOVNA DJELATNOST VELEUČILIŠTA I VISOKIH ŠKOLA (IZ EVIDENCIJSKIH PRIHODA)</v>
      </c>
      <c r="I16" s="182">
        <v>10000</v>
      </c>
      <c r="J16" s="182">
        <v>10000</v>
      </c>
      <c r="K16" s="182">
        <v>10000</v>
      </c>
      <c r="M16" s="139" t="str">
        <f t="shared" si="5"/>
        <v>312</v>
      </c>
      <c r="N16" s="139" t="str">
        <f t="shared" si="6"/>
        <v>31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43</v>
      </c>
      <c r="D17" s="144" t="str">
        <f t="shared" si="2"/>
        <v>Ostali prihodi za posebne namjene</v>
      </c>
      <c r="E17" s="149">
        <v>3211</v>
      </c>
      <c r="F17" s="144" t="str">
        <f t="shared" si="3"/>
        <v>Službena putovanja</v>
      </c>
      <c r="G17" s="183" t="s">
        <v>191</v>
      </c>
      <c r="H17" s="144" t="str">
        <f t="shared" si="4"/>
        <v>REDOVNA DJELATNOST VELEUČILIŠTA I VISOKIH ŠKOLA (IZ EVIDENCIJSKIH PRIHODA)</v>
      </c>
      <c r="I17" s="182">
        <v>60000</v>
      </c>
      <c r="J17" s="182">
        <v>60000</v>
      </c>
      <c r="K17" s="182">
        <v>60000</v>
      </c>
      <c r="M17" s="139" t="str">
        <f t="shared" si="5"/>
        <v>321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43</v>
      </c>
      <c r="D18" s="144" t="str">
        <f t="shared" si="2"/>
        <v>Ostali prihodi za posebne namjene</v>
      </c>
      <c r="E18" s="149">
        <v>3213</v>
      </c>
      <c r="F18" s="144" t="str">
        <f t="shared" si="3"/>
        <v>Stručno usavršavanje zaposlenika</v>
      </c>
      <c r="G18" s="183" t="s">
        <v>191</v>
      </c>
      <c r="H18" s="144" t="str">
        <f t="shared" si="4"/>
        <v>REDOVNA DJELATNOST VELEUČILIŠTA I VISOKIH ŠKOLA (IZ EVIDENCIJSKIH PRIHODA)</v>
      </c>
      <c r="I18" s="182">
        <v>130000</v>
      </c>
      <c r="J18" s="182">
        <v>130000</v>
      </c>
      <c r="K18" s="182">
        <v>130000</v>
      </c>
      <c r="M18" s="139" t="str">
        <f t="shared" si="5"/>
        <v>321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43</v>
      </c>
      <c r="D19" s="144" t="str">
        <f t="shared" si="2"/>
        <v>Ostali prihodi za posebne namjene</v>
      </c>
      <c r="E19" s="149">
        <v>3224</v>
      </c>
      <c r="F19" s="144" t="str">
        <f t="shared" si="3"/>
        <v>Materijal i dijelovi za tekuće i investicijsko održavanje</v>
      </c>
      <c r="G19" s="183" t="s">
        <v>191</v>
      </c>
      <c r="H19" s="144" t="str">
        <f t="shared" si="4"/>
        <v>REDOVNA DJELATNOST VELEUČILIŠTA I VISOKIH ŠKOLA (IZ EVIDENCIJSKIH PRIHODA)</v>
      </c>
      <c r="I19" s="182">
        <v>10000</v>
      </c>
      <c r="J19" s="182">
        <v>10000</v>
      </c>
      <c r="K19" s="182">
        <v>10000</v>
      </c>
      <c r="M19" s="139" t="str">
        <f t="shared" si="5"/>
        <v>322</v>
      </c>
      <c r="N19" s="139" t="str">
        <f t="shared" si="6"/>
        <v>32</v>
      </c>
      <c r="O19" s="202">
        <v>576</v>
      </c>
      <c r="P19" s="238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43</v>
      </c>
      <c r="D20" s="144" t="str">
        <f t="shared" si="2"/>
        <v>Ostali prihodi za posebne namjene</v>
      </c>
      <c r="E20" s="149">
        <v>3225</v>
      </c>
      <c r="F20" s="144" t="str">
        <f t="shared" si="3"/>
        <v>Sitni inventar i auto gume</v>
      </c>
      <c r="G20" s="183" t="s">
        <v>191</v>
      </c>
      <c r="H20" s="144" t="str">
        <f t="shared" si="4"/>
        <v>REDOVNA DJELATNOST VELEUČILIŠTA I VISOKIH ŠKOLA (IZ EVIDENCIJSKIH PRIHODA)</v>
      </c>
      <c r="I20" s="182">
        <v>50000</v>
      </c>
      <c r="J20" s="182">
        <v>50000</v>
      </c>
      <c r="K20" s="182">
        <v>50000</v>
      </c>
      <c r="M20" s="139" t="str">
        <f t="shared" si="5"/>
        <v>322</v>
      </c>
      <c r="N20" s="139" t="str">
        <f t="shared" si="6"/>
        <v>32</v>
      </c>
      <c r="O20" s="209">
        <v>581</v>
      </c>
      <c r="P20" s="210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43</v>
      </c>
      <c r="D21" s="144" t="str">
        <f t="shared" si="2"/>
        <v>Ostali prihodi za posebne namjene</v>
      </c>
      <c r="E21" s="149">
        <v>3231</v>
      </c>
      <c r="F21" s="144" t="str">
        <f t="shared" si="3"/>
        <v>Usluge telefona, pošte i prijevoza</v>
      </c>
      <c r="G21" s="183" t="s">
        <v>191</v>
      </c>
      <c r="H21" s="144" t="str">
        <f t="shared" si="4"/>
        <v>REDOVNA DJELATNOST VELEUČILIŠTA I VISOKIH ŠKOLA (IZ EVIDENCIJSKIH PRIHODA)</v>
      </c>
      <c r="I21" s="182">
        <v>90000</v>
      </c>
      <c r="J21" s="182">
        <v>90000</v>
      </c>
      <c r="K21" s="182">
        <v>90000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43</v>
      </c>
      <c r="D22" s="144" t="str">
        <f t="shared" si="2"/>
        <v>Ostali prihodi za posebne namjene</v>
      </c>
      <c r="E22" s="149">
        <v>3233</v>
      </c>
      <c r="F22" s="144" t="str">
        <f t="shared" si="3"/>
        <v>Usluge promidžbe i informiranja</v>
      </c>
      <c r="G22" s="183" t="s">
        <v>191</v>
      </c>
      <c r="H22" s="144" t="str">
        <f t="shared" si="4"/>
        <v>REDOVNA DJELATNOST VELEUČILIŠTA I VISOKIH ŠKOLA (IZ EVIDENCIJSKIH PRIHODA)</v>
      </c>
      <c r="I22" s="182">
        <v>150000</v>
      </c>
      <c r="J22" s="182">
        <v>150000</v>
      </c>
      <c r="K22" s="182">
        <v>150000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43</v>
      </c>
      <c r="D23" s="144" t="str">
        <f t="shared" si="2"/>
        <v>Ostali prihodi za posebne namjene</v>
      </c>
      <c r="E23" s="149">
        <v>3234</v>
      </c>
      <c r="F23" s="144" t="str">
        <f t="shared" si="3"/>
        <v>Komunalne usluge</v>
      </c>
      <c r="G23" s="183" t="s">
        <v>191</v>
      </c>
      <c r="H23" s="144" t="str">
        <f t="shared" si="4"/>
        <v>REDOVNA DJELATNOST VELEUČILIŠTA I VISOKIH ŠKOLA (IZ EVIDENCIJSKIH PRIHODA)</v>
      </c>
      <c r="I23" s="182">
        <v>130000</v>
      </c>
      <c r="J23" s="182">
        <v>130000</v>
      </c>
      <c r="K23" s="182">
        <v>130000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43</v>
      </c>
      <c r="D24" s="144" t="str">
        <f t="shared" si="2"/>
        <v>Ostali prihodi za posebne namjene</v>
      </c>
      <c r="E24" s="149">
        <v>3235</v>
      </c>
      <c r="F24" s="144" t="str">
        <f t="shared" si="3"/>
        <v>Zakupnine i najamnine</v>
      </c>
      <c r="G24" s="183" t="s">
        <v>191</v>
      </c>
      <c r="H24" s="144" t="str">
        <f t="shared" si="4"/>
        <v>REDOVNA DJELATNOST VELEUČILIŠTA I VISOKIH ŠKOLA (IZ EVIDENCIJSKIH PRIHODA)</v>
      </c>
      <c r="I24" s="182">
        <v>80000</v>
      </c>
      <c r="J24" s="182">
        <v>80000</v>
      </c>
      <c r="K24" s="182">
        <v>80000</v>
      </c>
      <c r="M24" s="139" t="str">
        <f t="shared" si="5"/>
        <v>323</v>
      </c>
      <c r="N24" s="139" t="str">
        <f t="shared" si="6"/>
        <v>32</v>
      </c>
      <c r="O24" s="241">
        <v>83</v>
      </c>
      <c r="P24" s="241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43</v>
      </c>
      <c r="D25" s="144" t="str">
        <f t="shared" si="2"/>
        <v>Ostali prihodi za posebne namjene</v>
      </c>
      <c r="E25" s="149">
        <v>3236</v>
      </c>
      <c r="F25" s="144" t="str">
        <f t="shared" si="3"/>
        <v>Zdravstvene i veterinarske usluge</v>
      </c>
      <c r="G25" s="183" t="s">
        <v>191</v>
      </c>
      <c r="H25" s="144" t="str">
        <f t="shared" si="4"/>
        <v>REDOVNA DJELATNOST VELEUČILIŠTA I VISOKIH ŠKOLA (IZ EVIDENCIJSKIH PRIHODA)</v>
      </c>
      <c r="I25" s="182">
        <v>25000</v>
      </c>
      <c r="J25" s="182">
        <v>25000</v>
      </c>
      <c r="K25" s="182">
        <v>25000</v>
      </c>
      <c r="M25" s="139" t="str">
        <f t="shared" si="5"/>
        <v>323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43</v>
      </c>
      <c r="D26" s="144" t="str">
        <f t="shared" si="2"/>
        <v>Ostali prihodi za posebne namjene</v>
      </c>
      <c r="E26" s="149">
        <v>3237</v>
      </c>
      <c r="F26" s="144" t="str">
        <f t="shared" si="3"/>
        <v>Intelektualne i osobne usluge</v>
      </c>
      <c r="G26" s="183" t="s">
        <v>191</v>
      </c>
      <c r="H26" s="144" t="str">
        <f t="shared" si="4"/>
        <v>REDOVNA DJELATNOST VELEUČILIŠTA I VISOKIH ŠKOLA (IZ EVIDENCIJSKIH PRIHODA)</v>
      </c>
      <c r="I26" s="182">
        <v>170000</v>
      </c>
      <c r="J26" s="182">
        <v>170000</v>
      </c>
      <c r="K26" s="182">
        <v>170000</v>
      </c>
      <c r="M26" s="139" t="str">
        <f t="shared" si="5"/>
        <v>323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43</v>
      </c>
      <c r="D27" s="144" t="str">
        <f t="shared" si="2"/>
        <v>Ostali prihodi za posebne namjene</v>
      </c>
      <c r="E27" s="149">
        <v>3239</v>
      </c>
      <c r="F27" s="144" t="str">
        <f t="shared" si="3"/>
        <v>Ostale usluge</v>
      </c>
      <c r="G27" s="183" t="s">
        <v>191</v>
      </c>
      <c r="H27" s="144" t="str">
        <f t="shared" si="4"/>
        <v>REDOVNA DJELATNOST VELEUČILIŠTA I VISOKIH ŠKOLA (IZ EVIDENCIJSKIH PRIHODA)</v>
      </c>
      <c r="I27" s="182">
        <v>70000</v>
      </c>
      <c r="J27" s="182">
        <v>70000</v>
      </c>
      <c r="K27" s="182">
        <v>70000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43</v>
      </c>
      <c r="D28" s="144" t="str">
        <f t="shared" si="2"/>
        <v>Ostali prihodi za posebne namjene</v>
      </c>
      <c r="E28" s="149">
        <v>3292</v>
      </c>
      <c r="F28" s="144" t="str">
        <f t="shared" si="3"/>
        <v>Premije osiguranja</v>
      </c>
      <c r="G28" s="183" t="s">
        <v>191</v>
      </c>
      <c r="H28" s="144" t="str">
        <f t="shared" si="4"/>
        <v>REDOVNA DJELATNOST VELEUČILIŠTA I VISOKIH ŠKOLA (IZ EVIDENCIJSKIH PRIHODA)</v>
      </c>
      <c r="I28" s="182">
        <v>35000</v>
      </c>
      <c r="J28" s="182">
        <v>35000</v>
      </c>
      <c r="K28" s="182">
        <v>35000</v>
      </c>
      <c r="M28" s="139" t="str">
        <f t="shared" si="5"/>
        <v>329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43</v>
      </c>
      <c r="D29" s="144" t="str">
        <f t="shared" si="2"/>
        <v>Ostali prihodi za posebne namjene</v>
      </c>
      <c r="E29" s="149">
        <v>3293</v>
      </c>
      <c r="F29" s="144" t="str">
        <f t="shared" si="3"/>
        <v>Reprezentacija</v>
      </c>
      <c r="G29" s="183" t="s">
        <v>191</v>
      </c>
      <c r="H29" s="144" t="str">
        <f t="shared" si="4"/>
        <v>REDOVNA DJELATNOST VELEUČILIŠTA I VISOKIH ŠKOLA (IZ EVIDENCIJSKIH PRIHODA)</v>
      </c>
      <c r="I29" s="182">
        <v>50000</v>
      </c>
      <c r="J29" s="182">
        <v>50000</v>
      </c>
      <c r="K29" s="182">
        <v>50000</v>
      </c>
      <c r="M29" s="139" t="str">
        <f t="shared" si="5"/>
        <v>329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43</v>
      </c>
      <c r="D30" s="144" t="str">
        <f t="shared" si="2"/>
        <v>Ostali prihodi za posebne namjene</v>
      </c>
      <c r="E30" s="149">
        <v>3299</v>
      </c>
      <c r="F30" s="144" t="str">
        <f t="shared" si="3"/>
        <v>Ostali nespomenuti rashodi poslovanja</v>
      </c>
      <c r="G30" s="183" t="s">
        <v>191</v>
      </c>
      <c r="H30" s="144" t="str">
        <f t="shared" si="4"/>
        <v>REDOVNA DJELATNOST VELEUČILIŠTA I VISOKIH ŠKOLA (IZ EVIDENCIJSKIH PRIHODA)</v>
      </c>
      <c r="I30" s="182">
        <v>90000</v>
      </c>
      <c r="J30" s="182">
        <v>90000</v>
      </c>
      <c r="K30" s="182">
        <v>90000</v>
      </c>
      <c r="M30" s="139" t="str">
        <f t="shared" si="5"/>
        <v>329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43</v>
      </c>
      <c r="D31" s="144" t="str">
        <f t="shared" si="2"/>
        <v>Ostali prihodi za posebne namjene</v>
      </c>
      <c r="E31" s="149">
        <v>3431</v>
      </c>
      <c r="F31" s="144" t="str">
        <f t="shared" si="3"/>
        <v>Bankarske usluge i usluge platnog prometa</v>
      </c>
      <c r="G31" s="183" t="s">
        <v>191</v>
      </c>
      <c r="H31" s="144" t="str">
        <f t="shared" si="4"/>
        <v>REDOVNA DJELATNOST VELEUČILIŠTA I VISOKIH ŠKOLA (IZ EVIDENCIJSKIH PRIHODA)</v>
      </c>
      <c r="I31" s="182">
        <v>5000</v>
      </c>
      <c r="J31" s="182">
        <v>5000</v>
      </c>
      <c r="K31" s="182">
        <v>5000</v>
      </c>
      <c r="M31" s="139" t="str">
        <f t="shared" si="5"/>
        <v>343</v>
      </c>
      <c r="N31" s="139" t="str">
        <f t="shared" si="6"/>
        <v>34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43</v>
      </c>
      <c r="D32" s="144" t="str">
        <f t="shared" si="2"/>
        <v>Ostali prihodi za posebne namjene</v>
      </c>
      <c r="E32" s="149">
        <v>4221</v>
      </c>
      <c r="F32" s="144" t="str">
        <f t="shared" si="3"/>
        <v>Uredska oprema i namještaj</v>
      </c>
      <c r="G32" s="183" t="s">
        <v>191</v>
      </c>
      <c r="H32" s="144" t="str">
        <f t="shared" si="4"/>
        <v>REDOVNA DJELATNOST VELEUČILIŠTA I VISOKIH ŠKOLA (IZ EVIDENCIJSKIH PRIHODA)</v>
      </c>
      <c r="I32" s="182">
        <v>240000</v>
      </c>
      <c r="J32" s="182">
        <v>200000</v>
      </c>
      <c r="K32" s="182">
        <v>200000</v>
      </c>
      <c r="M32" s="139" t="str">
        <f t="shared" si="5"/>
        <v>422</v>
      </c>
      <c r="N32" s="139" t="str">
        <f t="shared" si="6"/>
        <v>42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43</v>
      </c>
      <c r="D33" s="144" t="str">
        <f t="shared" si="2"/>
        <v>Ostali prihodi za posebne namjene</v>
      </c>
      <c r="E33" s="149">
        <v>4223</v>
      </c>
      <c r="F33" s="144" t="str">
        <f t="shared" si="3"/>
        <v>Oprema za održavanje i zaštitu</v>
      </c>
      <c r="G33" s="183" t="s">
        <v>191</v>
      </c>
      <c r="H33" s="144" t="str">
        <f t="shared" si="4"/>
        <v>REDOVNA DJELATNOST VELEUČILIŠTA I VISOKIH ŠKOLA (IZ EVIDENCIJSKIH PRIHODA)</v>
      </c>
      <c r="I33" s="182">
        <v>40000</v>
      </c>
      <c r="J33" s="182">
        <v>40000</v>
      </c>
      <c r="K33" s="182">
        <v>40000</v>
      </c>
      <c r="M33" s="139" t="str">
        <f t="shared" si="5"/>
        <v>422</v>
      </c>
      <c r="N33" s="139" t="str">
        <f t="shared" si="6"/>
        <v>42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43</v>
      </c>
      <c r="D34" s="144" t="str">
        <f t="shared" si="2"/>
        <v>Ostali prihodi za posebne namjene</v>
      </c>
      <c r="E34" s="149">
        <v>4224</v>
      </c>
      <c r="F34" s="144" t="str">
        <f t="shared" si="3"/>
        <v>Medicinska i laboratorijska oprema</v>
      </c>
      <c r="G34" s="183" t="s">
        <v>191</v>
      </c>
      <c r="H34" s="144" t="str">
        <f t="shared" si="4"/>
        <v>REDOVNA DJELATNOST VELEUČILIŠTA I VISOKIH ŠKOLA (IZ EVIDENCIJSKIH PRIHODA)</v>
      </c>
      <c r="I34" s="182">
        <v>80000</v>
      </c>
      <c r="J34" s="182">
        <v>200000</v>
      </c>
      <c r="K34" s="182">
        <v>200000</v>
      </c>
      <c r="M34" s="139" t="str">
        <f t="shared" si="5"/>
        <v>422</v>
      </c>
      <c r="N34" s="139" t="str">
        <f t="shared" si="6"/>
        <v>42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43</v>
      </c>
      <c r="D35" s="144" t="str">
        <f t="shared" si="2"/>
        <v>Ostali prihodi za posebne namjene</v>
      </c>
      <c r="E35" s="149">
        <v>4225</v>
      </c>
      <c r="F35" s="144" t="str">
        <f t="shared" si="3"/>
        <v>Instrumenti, uređaji i strojevi</v>
      </c>
      <c r="G35" s="183" t="s">
        <v>191</v>
      </c>
      <c r="H35" s="144" t="str">
        <f t="shared" si="4"/>
        <v>REDOVNA DJELATNOST VELEUČILIŠTA I VISOKIH ŠKOLA (IZ EVIDENCIJSKIH PRIHODA)</v>
      </c>
      <c r="I35" s="182">
        <v>80000</v>
      </c>
      <c r="J35" s="182">
        <v>200000</v>
      </c>
      <c r="K35" s="182">
        <v>200000</v>
      </c>
      <c r="M35" s="139" t="str">
        <f t="shared" si="5"/>
        <v>422</v>
      </c>
      <c r="N35" s="139" t="str">
        <f t="shared" si="6"/>
        <v>42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43</v>
      </c>
      <c r="D36" s="144" t="str">
        <f t="shared" si="2"/>
        <v>Ostali prihodi za posebne namjene</v>
      </c>
      <c r="E36" s="149">
        <v>4241</v>
      </c>
      <c r="F36" s="144" t="str">
        <f t="shared" si="3"/>
        <v>Knjige</v>
      </c>
      <c r="G36" s="183" t="s">
        <v>191</v>
      </c>
      <c r="H36" s="144" t="str">
        <f t="shared" si="4"/>
        <v>REDOVNA DJELATNOST VELEUČILIŠTA I VISOKIH ŠKOLA (IZ EVIDENCIJSKIH PRIHODA)</v>
      </c>
      <c r="I36" s="182">
        <v>10000</v>
      </c>
      <c r="J36" s="182">
        <v>10000</v>
      </c>
      <c r="K36" s="182">
        <v>10000</v>
      </c>
      <c r="M36" s="139" t="str">
        <f t="shared" si="5"/>
        <v>424</v>
      </c>
      <c r="N36" s="139" t="str">
        <f t="shared" si="6"/>
        <v>42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/>
      </c>
      <c r="B37" s="143" t="str">
        <f>IF(C37="","",VLOOKUP('Opći dio'!$C$3,'Opći dio'!$L$6:$U$137,9,FALSE))</f>
        <v/>
      </c>
      <c r="C37" s="149"/>
      <c r="D37" s="144" t="str">
        <f t="shared" si="2"/>
        <v/>
      </c>
      <c r="E37" s="149"/>
      <c r="F37" s="144" t="str">
        <f t="shared" si="3"/>
        <v/>
      </c>
      <c r="G37" s="183"/>
      <c r="H37" s="144" t="str">
        <f t="shared" si="4"/>
        <v/>
      </c>
      <c r="I37" s="182"/>
      <c r="J37" s="182"/>
      <c r="K37" s="182"/>
      <c r="M37" s="139" t="str">
        <f t="shared" si="5"/>
        <v/>
      </c>
      <c r="N37" s="139" t="str">
        <f t="shared" si="6"/>
        <v/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4221</v>
      </c>
      <c r="F38" s="144" t="str">
        <f t="shared" si="3"/>
        <v>Uredska oprema i namještaj</v>
      </c>
      <c r="G38" s="183" t="s">
        <v>191</v>
      </c>
      <c r="H38" s="144" t="str">
        <f t="shared" si="4"/>
        <v>REDOVNA DJELATNOST VELEUČILIŠTA I VISOKIH ŠKOLA (IZ EVIDENCIJSKIH PRIHODA)</v>
      </c>
      <c r="I38" s="182">
        <v>30000</v>
      </c>
      <c r="J38" s="182">
        <v>40000</v>
      </c>
      <c r="K38" s="182">
        <v>50000</v>
      </c>
      <c r="M38" s="139" t="str">
        <f t="shared" si="5"/>
        <v>422</v>
      </c>
      <c r="N38" s="139" t="str">
        <f t="shared" si="6"/>
        <v>42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/>
      </c>
      <c r="B39" s="143" t="str">
        <f>IF(C39="","",VLOOKUP('Opći dio'!$C$3,'Opći dio'!$L$6:$U$137,9,FALSE))</f>
        <v/>
      </c>
      <c r="C39" s="149"/>
      <c r="D39" s="144" t="str">
        <f t="shared" si="2"/>
        <v/>
      </c>
      <c r="E39" s="149"/>
      <c r="F39" s="144" t="str">
        <f t="shared" si="3"/>
        <v/>
      </c>
      <c r="G39" s="183"/>
      <c r="H39" s="144" t="str">
        <f t="shared" si="4"/>
        <v/>
      </c>
      <c r="I39" s="182"/>
      <c r="J39" s="182"/>
      <c r="K39" s="182"/>
      <c r="M39" s="139" t="str">
        <f t="shared" si="5"/>
        <v/>
      </c>
      <c r="N39" s="139" t="str">
        <f t="shared" si="6"/>
        <v/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/>
      </c>
      <c r="B40" s="143" t="str">
        <f>IF(C40="","",VLOOKUP('Opći dio'!$C$3,'Opći dio'!$L$6:$U$137,9,FALSE))</f>
        <v/>
      </c>
      <c r="C40" s="149"/>
      <c r="D40" s="144" t="str">
        <f t="shared" si="2"/>
        <v/>
      </c>
      <c r="E40" s="149"/>
      <c r="F40" s="144" t="str">
        <f t="shared" si="3"/>
        <v/>
      </c>
      <c r="G40" s="183"/>
      <c r="H40" s="144" t="str">
        <f t="shared" si="4"/>
        <v/>
      </c>
      <c r="I40" s="182"/>
      <c r="J40" s="182"/>
      <c r="K40" s="182"/>
      <c r="M40" s="139" t="str">
        <f t="shared" si="5"/>
        <v/>
      </c>
      <c r="N40" s="139" t="str">
        <f t="shared" si="6"/>
        <v/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52</v>
      </c>
      <c r="D41" s="144" t="str">
        <f t="shared" si="2"/>
        <v>Ostale pomoći</v>
      </c>
      <c r="E41" s="149">
        <v>4221</v>
      </c>
      <c r="F41" s="144" t="str">
        <f t="shared" si="3"/>
        <v>Uredska oprema i namještaj</v>
      </c>
      <c r="G41" s="183" t="s">
        <v>2084</v>
      </c>
      <c r="H41" s="144" t="str">
        <f t="shared" si="4"/>
        <v>PROGRAMI POBOLJŠANJA STUDENTSKOG STANDARDA</v>
      </c>
      <c r="I41" s="182">
        <v>65000</v>
      </c>
      <c r="J41" s="182">
        <v>65000</v>
      </c>
      <c r="K41" s="182">
        <v>65000</v>
      </c>
      <c r="M41" s="139" t="str">
        <f t="shared" si="5"/>
        <v>422</v>
      </c>
      <c r="N41" s="139" t="str">
        <f t="shared" si="6"/>
        <v>42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/>
      </c>
      <c r="B42" s="143" t="str">
        <f>IF(C42="","",VLOOKUP('Opći dio'!$C$3,'Opći dio'!$L$6:$U$137,9,FALSE))</f>
        <v/>
      </c>
      <c r="C42" s="149"/>
      <c r="D42" s="144" t="str">
        <f t="shared" si="2"/>
        <v/>
      </c>
      <c r="E42" s="149"/>
      <c r="F42" s="144" t="str">
        <f t="shared" si="3"/>
        <v/>
      </c>
      <c r="G42" s="183"/>
      <c r="H42" s="144" t="str">
        <f t="shared" si="4"/>
        <v/>
      </c>
      <c r="I42" s="182"/>
      <c r="J42" s="182"/>
      <c r="K42" s="182"/>
      <c r="M42" s="139" t="str">
        <f t="shared" si="5"/>
        <v/>
      </c>
      <c r="N42" s="139" t="str">
        <f t="shared" si="6"/>
        <v/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/>
      </c>
      <c r="B43" s="143" t="str">
        <f>IF(C43="","",VLOOKUP('Opći dio'!$C$3,'Opći dio'!$L$6:$U$137,9,FALSE))</f>
        <v/>
      </c>
      <c r="C43" s="149"/>
      <c r="D43" s="144" t="str">
        <f t="shared" si="2"/>
        <v/>
      </c>
      <c r="E43" s="149"/>
      <c r="F43" s="144" t="str">
        <f t="shared" si="3"/>
        <v/>
      </c>
      <c r="G43" s="183"/>
      <c r="H43" s="144" t="str">
        <f t="shared" si="4"/>
        <v/>
      </c>
      <c r="I43" s="182"/>
      <c r="J43" s="182"/>
      <c r="K43" s="182"/>
      <c r="M43" s="139" t="str">
        <f t="shared" si="5"/>
        <v/>
      </c>
      <c r="N43" s="139" t="str">
        <f t="shared" si="6"/>
        <v/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/>
      </c>
      <c r="B44" s="143" t="str">
        <f>IF(C44="","",VLOOKUP('Opći dio'!$C$3,'Opći dio'!$L$6:$U$137,9,FALSE))</f>
        <v/>
      </c>
      <c r="C44" s="149"/>
      <c r="D44" s="144" t="str">
        <f t="shared" si="2"/>
        <v/>
      </c>
      <c r="E44" s="149"/>
      <c r="F44" s="144" t="str">
        <f t="shared" si="3"/>
        <v/>
      </c>
      <c r="G44" s="183"/>
      <c r="H44" s="144" t="str">
        <f t="shared" si="4"/>
        <v/>
      </c>
      <c r="I44" s="182"/>
      <c r="J44" s="182"/>
      <c r="K44" s="182"/>
      <c r="M44" s="139" t="str">
        <f t="shared" si="5"/>
        <v/>
      </c>
      <c r="N44" s="139" t="str">
        <f t="shared" si="6"/>
        <v/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/>
      </c>
      <c r="B45" s="143" t="str">
        <f>IF(C45="","",VLOOKUP('Opći dio'!$C$3,'Opći dio'!$L$6:$U$137,9,FALSE))</f>
        <v/>
      </c>
      <c r="C45" s="149"/>
      <c r="D45" s="144" t="str">
        <f t="shared" si="2"/>
        <v/>
      </c>
      <c r="E45" s="149"/>
      <c r="F45" s="144" t="str">
        <f t="shared" si="3"/>
        <v/>
      </c>
      <c r="G45" s="183"/>
      <c r="H45" s="144" t="str">
        <f t="shared" si="4"/>
        <v/>
      </c>
      <c r="I45" s="182"/>
      <c r="J45" s="182"/>
      <c r="K45" s="182"/>
      <c r="M45" s="139" t="str">
        <f t="shared" si="5"/>
        <v/>
      </c>
      <c r="N45" s="139" t="str">
        <f t="shared" si="6"/>
        <v/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/>
      </c>
      <c r="B46" s="143" t="str">
        <f>IF(C46="","",VLOOKUP('Opći dio'!$C$3,'Opći dio'!$L$6:$U$137,9,FALSE))</f>
        <v/>
      </c>
      <c r="C46" s="149"/>
      <c r="D46" s="144" t="str">
        <f t="shared" si="2"/>
        <v/>
      </c>
      <c r="E46" s="149"/>
      <c r="F46" s="144" t="str">
        <f t="shared" si="3"/>
        <v/>
      </c>
      <c r="G46" s="183"/>
      <c r="H46" s="144" t="str">
        <f t="shared" si="4"/>
        <v/>
      </c>
      <c r="I46" s="182"/>
      <c r="J46" s="182"/>
      <c r="K46" s="182"/>
      <c r="M46" s="139" t="str">
        <f t="shared" si="5"/>
        <v/>
      </c>
      <c r="N46" s="139" t="str">
        <f t="shared" si="6"/>
        <v/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/>
      </c>
      <c r="B47" s="143" t="str">
        <f>IF(C47="","",VLOOKUP('Opći dio'!$C$3,'Opći dio'!$L$6:$U$137,9,FALSE))</f>
        <v/>
      </c>
      <c r="C47" s="149"/>
      <c r="D47" s="144" t="str">
        <f t="shared" si="2"/>
        <v/>
      </c>
      <c r="E47" s="149"/>
      <c r="F47" s="144" t="str">
        <f t="shared" si="3"/>
        <v/>
      </c>
      <c r="G47" s="183"/>
      <c r="H47" s="144" t="str">
        <f t="shared" si="4"/>
        <v/>
      </c>
      <c r="I47" s="182"/>
      <c r="J47" s="182"/>
      <c r="K47" s="182"/>
      <c r="M47" s="139" t="str">
        <f t="shared" si="5"/>
        <v/>
      </c>
      <c r="N47" s="139" t="str">
        <f t="shared" si="6"/>
        <v/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/>
      </c>
      <c r="B48" s="143" t="str">
        <f>IF(C48="","",VLOOKUP('Opći dio'!$C$3,'Opći dio'!$L$6:$U$137,9,FALSE))</f>
        <v/>
      </c>
      <c r="C48" s="149"/>
      <c r="D48" s="144" t="str">
        <f t="shared" si="2"/>
        <v/>
      </c>
      <c r="E48" s="149"/>
      <c r="F48" s="144" t="str">
        <f t="shared" si="3"/>
        <v/>
      </c>
      <c r="G48" s="183"/>
      <c r="H48" s="144" t="str">
        <f t="shared" si="4"/>
        <v/>
      </c>
      <c r="I48" s="182"/>
      <c r="J48" s="182"/>
      <c r="K48" s="182"/>
      <c r="M48" s="139" t="str">
        <f t="shared" si="5"/>
        <v/>
      </c>
      <c r="N48" s="139" t="str">
        <f t="shared" si="6"/>
        <v/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/>
      </c>
      <c r="B49" s="143" t="str">
        <f>IF(C49="","",VLOOKUP('Opći dio'!$C$3,'Opći dio'!$L$6:$U$137,9,FALSE))</f>
        <v/>
      </c>
      <c r="C49" s="149"/>
      <c r="D49" s="144" t="str">
        <f t="shared" si="2"/>
        <v/>
      </c>
      <c r="E49" s="149"/>
      <c r="F49" s="144" t="str">
        <f t="shared" si="3"/>
        <v/>
      </c>
      <c r="G49" s="183"/>
      <c r="H49" s="144" t="str">
        <f t="shared" si="4"/>
        <v/>
      </c>
      <c r="I49" s="182"/>
      <c r="J49" s="182"/>
      <c r="K49" s="182"/>
      <c r="M49" s="139" t="str">
        <f t="shared" si="5"/>
        <v/>
      </c>
      <c r="N49" s="139" t="str">
        <f t="shared" si="6"/>
        <v/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/>
      </c>
      <c r="B50" s="143" t="str">
        <f>IF(C50="","",VLOOKUP('Opći dio'!$C$3,'Opći dio'!$L$6:$U$137,9,FALSE))</f>
        <v/>
      </c>
      <c r="C50" s="149"/>
      <c r="D50" s="144" t="str">
        <f t="shared" si="2"/>
        <v/>
      </c>
      <c r="E50" s="149"/>
      <c r="F50" s="144" t="str">
        <f t="shared" si="3"/>
        <v/>
      </c>
      <c r="G50" s="183"/>
      <c r="H50" s="144" t="str">
        <f t="shared" si="4"/>
        <v/>
      </c>
      <c r="I50" s="182"/>
      <c r="J50" s="182"/>
      <c r="K50" s="182"/>
      <c r="M50" s="139" t="str">
        <f t="shared" si="5"/>
        <v/>
      </c>
      <c r="N50" s="139" t="str">
        <f t="shared" si="6"/>
        <v/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/>
      </c>
      <c r="B51" s="143" t="str">
        <f>IF(C51="","",VLOOKUP('Opći dio'!$C$3,'Opći dio'!$L$6:$U$137,9,FALSE))</f>
        <v/>
      </c>
      <c r="C51" s="149"/>
      <c r="D51" s="144" t="str">
        <f t="shared" si="2"/>
        <v/>
      </c>
      <c r="E51" s="149"/>
      <c r="F51" s="144" t="str">
        <f t="shared" si="3"/>
        <v/>
      </c>
      <c r="G51" s="183"/>
      <c r="H51" s="144" t="str">
        <f t="shared" si="4"/>
        <v/>
      </c>
      <c r="I51" s="182"/>
      <c r="J51" s="182"/>
      <c r="K51" s="182"/>
      <c r="M51" s="139" t="str">
        <f t="shared" si="5"/>
        <v/>
      </c>
      <c r="N51" s="139" t="str">
        <f t="shared" si="6"/>
        <v/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/>
      </c>
      <c r="B52" s="143" t="str">
        <f>IF(C52="","",VLOOKUP('Opći dio'!$C$3,'Opći dio'!$L$6:$U$137,9,FALSE))</f>
        <v/>
      </c>
      <c r="C52" s="149"/>
      <c r="D52" s="144" t="str">
        <f t="shared" si="2"/>
        <v/>
      </c>
      <c r="E52" s="149"/>
      <c r="F52" s="144" t="str">
        <f t="shared" si="3"/>
        <v/>
      </c>
      <c r="G52" s="183"/>
      <c r="H52" s="144" t="str">
        <f t="shared" si="4"/>
        <v/>
      </c>
      <c r="I52" s="182"/>
      <c r="J52" s="182"/>
      <c r="K52" s="182"/>
      <c r="M52" s="139" t="str">
        <f t="shared" si="5"/>
        <v/>
      </c>
      <c r="N52" s="139" t="str">
        <f t="shared" si="6"/>
        <v/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/>
      </c>
      <c r="B53" s="143" t="str">
        <f>IF(C53="","",VLOOKUP('Opći dio'!$C$3,'Opći dio'!$L$6:$U$137,9,FALSE))</f>
        <v/>
      </c>
      <c r="C53" s="149"/>
      <c r="D53" s="144" t="str">
        <f t="shared" si="2"/>
        <v/>
      </c>
      <c r="E53" s="149"/>
      <c r="F53" s="144" t="str">
        <f t="shared" si="3"/>
        <v/>
      </c>
      <c r="G53" s="183"/>
      <c r="H53" s="144" t="str">
        <f t="shared" si="4"/>
        <v/>
      </c>
      <c r="I53" s="182"/>
      <c r="J53" s="182"/>
      <c r="K53" s="182"/>
      <c r="M53" s="139" t="str">
        <f t="shared" si="5"/>
        <v/>
      </c>
      <c r="N53" s="139" t="str">
        <f t="shared" si="6"/>
        <v/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/>
      </c>
      <c r="B55" s="143" t="str">
        <f>IF(C55="","",VLOOKUP('Opći dio'!$C$3,'Opći dio'!$L$6:$U$137,9,FALSE))</f>
        <v/>
      </c>
      <c r="C55" s="149"/>
      <c r="D55" s="144" t="str">
        <f t="shared" si="2"/>
        <v/>
      </c>
      <c r="E55" s="149"/>
      <c r="F55" s="144" t="str">
        <f t="shared" si="3"/>
        <v/>
      </c>
      <c r="G55" s="183"/>
      <c r="H55" s="144" t="str">
        <f t="shared" si="4"/>
        <v/>
      </c>
      <c r="I55" s="182"/>
      <c r="J55" s="182"/>
      <c r="K55" s="182"/>
      <c r="M55" s="139" t="str">
        <f t="shared" si="5"/>
        <v/>
      </c>
      <c r="N55" s="139" t="str">
        <f t="shared" si="6"/>
        <v/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/>
      </c>
      <c r="B56" s="143" t="str">
        <f>IF(C56="","",VLOOKUP('Opći dio'!$C$3,'Opći dio'!$L$6:$U$137,9,FALSE))</f>
        <v/>
      </c>
      <c r="C56" s="149"/>
      <c r="D56" s="144" t="str">
        <f t="shared" si="2"/>
        <v/>
      </c>
      <c r="E56" s="149"/>
      <c r="F56" s="144" t="str">
        <f t="shared" si="3"/>
        <v/>
      </c>
      <c r="G56" s="183"/>
      <c r="H56" s="144" t="str">
        <f t="shared" si="4"/>
        <v/>
      </c>
      <c r="I56" s="182"/>
      <c r="J56" s="182"/>
      <c r="K56" s="182"/>
      <c r="M56" s="139" t="str">
        <f t="shared" si="5"/>
        <v/>
      </c>
      <c r="N56" s="139" t="str">
        <f t="shared" si="6"/>
        <v/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/>
      </c>
      <c r="B57" s="143" t="str">
        <f>IF(C57="","",VLOOKUP('Opći dio'!$C$3,'Opći dio'!$L$6:$U$137,9,FALSE))</f>
        <v/>
      </c>
      <c r="C57" s="149"/>
      <c r="D57" s="144" t="str">
        <f t="shared" si="2"/>
        <v/>
      </c>
      <c r="E57" s="149"/>
      <c r="F57" s="144" t="str">
        <f t="shared" si="3"/>
        <v/>
      </c>
      <c r="G57" s="183"/>
      <c r="H57" s="144" t="str">
        <f t="shared" si="4"/>
        <v/>
      </c>
      <c r="I57" s="182"/>
      <c r="J57" s="182"/>
      <c r="K57" s="182"/>
      <c r="M57" s="139" t="str">
        <f t="shared" si="5"/>
        <v/>
      </c>
      <c r="N57" s="139" t="str">
        <f t="shared" si="6"/>
        <v/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/>
      </c>
      <c r="B58" s="143" t="str">
        <f>IF(C58="","",VLOOKUP('Opći dio'!$C$3,'Opći dio'!$L$6:$U$137,9,FALSE))</f>
        <v/>
      </c>
      <c r="C58" s="149"/>
      <c r="D58" s="144" t="str">
        <f t="shared" si="2"/>
        <v/>
      </c>
      <c r="E58" s="149"/>
      <c r="F58" s="144" t="str">
        <f t="shared" si="3"/>
        <v/>
      </c>
      <c r="G58" s="183"/>
      <c r="H58" s="144" t="str">
        <f t="shared" si="4"/>
        <v/>
      </c>
      <c r="I58" s="182"/>
      <c r="J58" s="182"/>
      <c r="K58" s="182"/>
      <c r="M58" s="139" t="str">
        <f t="shared" si="5"/>
        <v/>
      </c>
      <c r="N58" s="139" t="str">
        <f t="shared" si="6"/>
        <v/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2"/>
        <v/>
      </c>
      <c r="E59" s="149"/>
      <c r="F59" s="144" t="str">
        <f t="shared" si="3"/>
        <v/>
      </c>
      <c r="G59" s="183"/>
      <c r="H59" s="144" t="str">
        <f t="shared" si="4"/>
        <v/>
      </c>
      <c r="I59" s="182"/>
      <c r="J59" s="182"/>
      <c r="K59" s="182"/>
      <c r="M59" s="139" t="str">
        <f t="shared" si="5"/>
        <v/>
      </c>
      <c r="N59" s="139" t="str">
        <f t="shared" si="6"/>
        <v/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/>
      </c>
      <c r="B60" s="143" t="str">
        <f>IF(C60="","",VLOOKUP('Opći dio'!$C$3,'Opći dio'!$L$6:$U$137,9,FALSE))</f>
        <v/>
      </c>
      <c r="C60" s="149"/>
      <c r="D60" s="144" t="str">
        <f t="shared" si="2"/>
        <v/>
      </c>
      <c r="E60" s="149"/>
      <c r="F60" s="144" t="str">
        <f t="shared" si="3"/>
        <v/>
      </c>
      <c r="G60" s="183"/>
      <c r="H60" s="144" t="str">
        <f t="shared" si="4"/>
        <v/>
      </c>
      <c r="I60" s="182"/>
      <c r="J60" s="182"/>
      <c r="K60" s="182"/>
      <c r="M60" s="139" t="str">
        <f t="shared" si="5"/>
        <v/>
      </c>
      <c r="N60" s="139" t="str">
        <f t="shared" si="6"/>
        <v/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/>
      </c>
      <c r="B61" s="143" t="str">
        <f>IF(C61="","",VLOOKUP('Opći dio'!$C$3,'Opći dio'!$L$6:$U$137,9,FALSE))</f>
        <v/>
      </c>
      <c r="C61" s="149"/>
      <c r="D61" s="144" t="str">
        <f t="shared" si="2"/>
        <v/>
      </c>
      <c r="E61" s="149"/>
      <c r="F61" s="144" t="str">
        <f t="shared" si="3"/>
        <v/>
      </c>
      <c r="G61" s="183"/>
      <c r="H61" s="144" t="str">
        <f t="shared" si="4"/>
        <v/>
      </c>
      <c r="I61" s="182"/>
      <c r="J61" s="182"/>
      <c r="K61" s="182"/>
      <c r="M61" s="139" t="str">
        <f t="shared" si="5"/>
        <v/>
      </c>
      <c r="N61" s="139" t="str">
        <f t="shared" si="6"/>
        <v/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G12" sqref="G12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0" t="s">
        <v>766</v>
      </c>
      <c r="B1" s="270"/>
      <c r="C1" s="187" t="str">
        <f>IF('Opći dio'!C3="odaberite -","Molimo odaberite proračunskog korisnika na radnom listu Opći podaci!","")</f>
        <v/>
      </c>
    </row>
    <row r="2" spans="1:28" ht="60">
      <c r="A2" s="198" t="s">
        <v>760</v>
      </c>
      <c r="B2" s="199" t="s">
        <v>45</v>
      </c>
      <c r="C2" s="198" t="s">
        <v>758</v>
      </c>
      <c r="D2" s="199" t="s">
        <v>759</v>
      </c>
      <c r="E2" s="198" t="s">
        <v>767</v>
      </c>
      <c r="F2" s="199" t="s">
        <v>47</v>
      </c>
      <c r="G2" s="189" t="s">
        <v>1984</v>
      </c>
      <c r="H2" s="189" t="s">
        <v>1985</v>
      </c>
      <c r="I2" s="189" t="s">
        <v>1986</v>
      </c>
      <c r="J2" s="200" t="s">
        <v>768</v>
      </c>
      <c r="K2" s="200" t="s">
        <v>769</v>
      </c>
      <c r="L2" s="200" t="s">
        <v>770</v>
      </c>
      <c r="M2" s="200" t="s">
        <v>771</v>
      </c>
      <c r="N2" s="200" t="s">
        <v>772</v>
      </c>
      <c r="P2" s="142" t="s">
        <v>733</v>
      </c>
      <c r="Q2" s="142" t="s">
        <v>734</v>
      </c>
    </row>
    <row r="3" spans="1:28">
      <c r="A3" s="149">
        <v>52</v>
      </c>
      <c r="B3" s="144" t="str">
        <f>IFERROR(VLOOKUP(A3,#REF!,2,FALSE),"")</f>
        <v/>
      </c>
      <c r="C3" s="149">
        <v>3213</v>
      </c>
      <c r="D3" s="144" t="str">
        <f>IFERROR(VLOOKUP(C3,#REF!,2,FALSE),"")</f>
        <v/>
      </c>
      <c r="E3" s="183" t="s">
        <v>2498</v>
      </c>
      <c r="F3" s="144" t="str">
        <f t="shared" ref="F3:F34" si="0">IFERROR(VLOOKUP(E3,$AA$3:$AB$551,2,FALSE),"")</f>
        <v/>
      </c>
      <c r="G3" s="182">
        <v>234550</v>
      </c>
      <c r="H3" s="182"/>
      <c r="I3" s="182"/>
      <c r="J3" s="197" t="s">
        <v>2499</v>
      </c>
      <c r="K3" s="196" t="s">
        <v>3502</v>
      </c>
      <c r="L3" s="196" t="s">
        <v>3503</v>
      </c>
      <c r="M3" s="197" t="s">
        <v>3504</v>
      </c>
      <c r="N3" s="197" t="s">
        <v>3505</v>
      </c>
      <c r="P3" s="139" t="str">
        <f t="shared" ref="P3:P34" si="1">LEFT(C3,3)</f>
        <v>321</v>
      </c>
      <c r="Q3" s="139" t="str">
        <f t="shared" ref="Q3:Q34" si="2">LEFT(C3,2)</f>
        <v>32</v>
      </c>
      <c r="AA3" s="139" t="s">
        <v>1719</v>
      </c>
      <c r="AB3" s="139" t="s">
        <v>1720</v>
      </c>
    </row>
    <row r="4" spans="1:28">
      <c r="A4" s="149"/>
      <c r="B4" s="144" t="str">
        <f>IFERROR(VLOOKUP(A4,#REF!,2,FALSE),"")</f>
        <v/>
      </c>
      <c r="C4" s="149"/>
      <c r="D4" s="144" t="str">
        <f>IFERROR(VLOOKUP(C4,#REF!,2,FALSE),"")</f>
        <v/>
      </c>
      <c r="E4" s="183"/>
      <c r="F4" s="144" t="str">
        <f t="shared" si="0"/>
        <v/>
      </c>
      <c r="G4" s="182"/>
      <c r="H4" s="182"/>
      <c r="I4" s="182"/>
      <c r="J4" s="197"/>
      <c r="K4" s="196"/>
      <c r="L4" s="196"/>
      <c r="M4" s="197"/>
      <c r="N4" s="197"/>
      <c r="P4" s="139" t="str">
        <f t="shared" si="1"/>
        <v/>
      </c>
      <c r="Q4" s="139" t="str">
        <f t="shared" si="2"/>
        <v/>
      </c>
      <c r="AA4" s="139" t="s">
        <v>1721</v>
      </c>
      <c r="AB4" s="139" t="s">
        <v>1722</v>
      </c>
    </row>
    <row r="5" spans="1:28">
      <c r="A5" s="149"/>
      <c r="B5" s="144" t="str">
        <f>IFERROR(VLOOKUP(A5,#REF!,2,FALSE),"")</f>
        <v/>
      </c>
      <c r="C5" s="149"/>
      <c r="D5" s="144" t="str">
        <f>IFERROR(VLOOKUP(C5,#REF!,2,FALSE),"")</f>
        <v/>
      </c>
      <c r="E5" s="183"/>
      <c r="F5" s="144" t="str">
        <f t="shared" si="0"/>
        <v/>
      </c>
      <c r="G5" s="182"/>
      <c r="H5" s="182"/>
      <c r="I5" s="182"/>
      <c r="J5" s="197"/>
      <c r="K5" s="196"/>
      <c r="L5" s="196"/>
      <c r="M5" s="197"/>
      <c r="N5" s="197"/>
      <c r="P5" s="139" t="str">
        <f t="shared" si="1"/>
        <v/>
      </c>
      <c r="Q5" s="139" t="str">
        <f t="shared" si="2"/>
        <v/>
      </c>
      <c r="AA5" s="139" t="s">
        <v>1723</v>
      </c>
      <c r="AB5" s="139" t="s">
        <v>1724</v>
      </c>
    </row>
    <row r="6" spans="1:28">
      <c r="A6" s="149"/>
      <c r="B6" s="144" t="str">
        <f>IFERROR(VLOOKUP(A6,#REF!,2,FALSE),"")</f>
        <v/>
      </c>
      <c r="C6" s="149"/>
      <c r="D6" s="144" t="str">
        <f>IFERROR(VLOOKUP(C6,#REF!,2,FALSE),"")</f>
        <v/>
      </c>
      <c r="E6" s="183"/>
      <c r="F6" s="144" t="str">
        <f t="shared" si="0"/>
        <v/>
      </c>
      <c r="G6" s="182"/>
      <c r="H6" s="182"/>
      <c r="I6" s="182"/>
      <c r="J6" s="197"/>
      <c r="K6" s="196"/>
      <c r="L6" s="196"/>
      <c r="M6" s="197"/>
      <c r="N6" s="197"/>
      <c r="P6" s="139" t="str">
        <f t="shared" si="1"/>
        <v/>
      </c>
      <c r="Q6" s="139" t="str">
        <f t="shared" si="2"/>
        <v/>
      </c>
      <c r="AA6" s="139" t="s">
        <v>1725</v>
      </c>
      <c r="AB6" s="139" t="s">
        <v>1726</v>
      </c>
    </row>
    <row r="7" spans="1:28">
      <c r="A7" s="149"/>
      <c r="B7" s="144" t="str">
        <f>IFERROR(VLOOKUP(A7,#REF!,2,FALSE),"")</f>
        <v/>
      </c>
      <c r="C7" s="149"/>
      <c r="D7" s="144" t="str">
        <f>IFERROR(VLOOKUP(C7,#REF!,2,FALSE),"")</f>
        <v/>
      </c>
      <c r="E7" s="183"/>
      <c r="F7" s="144" t="str">
        <f t="shared" si="0"/>
        <v/>
      </c>
      <c r="G7" s="182"/>
      <c r="H7" s="182"/>
      <c r="I7" s="182"/>
      <c r="J7" s="197"/>
      <c r="K7" s="196"/>
      <c r="L7" s="196"/>
      <c r="M7" s="197"/>
      <c r="N7" s="197"/>
      <c r="P7" s="139" t="str">
        <f t="shared" si="1"/>
        <v/>
      </c>
      <c r="Q7" s="139" t="str">
        <f t="shared" si="2"/>
        <v/>
      </c>
      <c r="AA7" s="139" t="s">
        <v>1727</v>
      </c>
      <c r="AB7" s="139" t="s">
        <v>1728</v>
      </c>
    </row>
    <row r="8" spans="1:28">
      <c r="A8" s="149"/>
      <c r="B8" s="144" t="str">
        <f>IFERROR(VLOOKUP(A8,#REF!,2,FALSE),"")</f>
        <v/>
      </c>
      <c r="C8" s="149"/>
      <c r="D8" s="144" t="str">
        <f>IFERROR(VLOOKUP(C8,#REF!,2,FALSE),"")</f>
        <v/>
      </c>
      <c r="E8" s="183"/>
      <c r="F8" s="144" t="str">
        <f t="shared" si="0"/>
        <v/>
      </c>
      <c r="G8" s="182"/>
      <c r="H8" s="182"/>
      <c r="I8" s="182"/>
      <c r="J8" s="197"/>
      <c r="K8" s="196"/>
      <c r="L8" s="196"/>
      <c r="M8" s="197"/>
      <c r="N8" s="197"/>
      <c r="P8" s="139" t="str">
        <f t="shared" si="1"/>
        <v/>
      </c>
      <c r="Q8" s="139" t="str">
        <f t="shared" si="2"/>
        <v/>
      </c>
      <c r="AA8" s="139" t="s">
        <v>1729</v>
      </c>
      <c r="AB8" s="139" t="s">
        <v>1730</v>
      </c>
    </row>
    <row r="9" spans="1:28">
      <c r="A9" s="149"/>
      <c r="B9" s="144" t="str">
        <f>IFERROR(VLOOKUP(A9,#REF!,2,FALSE),"")</f>
        <v/>
      </c>
      <c r="C9" s="149"/>
      <c r="D9" s="144" t="str">
        <f>IFERROR(VLOOKUP(C9,#REF!,2,FALSE),"")</f>
        <v/>
      </c>
      <c r="E9" s="183"/>
      <c r="F9" s="144" t="str">
        <f t="shared" si="0"/>
        <v/>
      </c>
      <c r="G9" s="182"/>
      <c r="H9" s="182"/>
      <c r="I9" s="182"/>
      <c r="J9" s="197"/>
      <c r="K9" s="196"/>
      <c r="L9" s="196"/>
      <c r="M9" s="197"/>
      <c r="N9" s="197"/>
      <c r="P9" s="139" t="str">
        <f t="shared" si="1"/>
        <v/>
      </c>
      <c r="Q9" s="139" t="str">
        <f t="shared" si="2"/>
        <v/>
      </c>
      <c r="AA9" s="139" t="s">
        <v>1731</v>
      </c>
      <c r="AB9" s="139" t="s">
        <v>1732</v>
      </c>
    </row>
    <row r="10" spans="1:28">
      <c r="A10" s="149"/>
      <c r="B10" s="144" t="str">
        <f>IFERROR(VLOOKUP(A10,#REF!,2,FALSE),"")</f>
        <v/>
      </c>
      <c r="C10" s="149"/>
      <c r="D10" s="144" t="str">
        <f>IFERROR(VLOOKUP(C10,#REF!,2,FALSE),"")</f>
        <v/>
      </c>
      <c r="E10" s="183"/>
      <c r="F10" s="144" t="str">
        <f t="shared" si="0"/>
        <v/>
      </c>
      <c r="G10" s="182"/>
      <c r="H10" s="182"/>
      <c r="I10" s="182"/>
      <c r="J10" s="197"/>
      <c r="K10" s="196"/>
      <c r="L10" s="196"/>
      <c r="M10" s="197"/>
      <c r="N10" s="197"/>
      <c r="P10" s="139" t="str">
        <f t="shared" si="1"/>
        <v/>
      </c>
      <c r="Q10" s="139" t="str">
        <f t="shared" si="2"/>
        <v/>
      </c>
      <c r="AA10" s="139" t="s">
        <v>1733</v>
      </c>
      <c r="AB10" s="139" t="s">
        <v>1734</v>
      </c>
    </row>
    <row r="11" spans="1:28">
      <c r="A11" s="149"/>
      <c r="B11" s="144" t="str">
        <f>IFERROR(VLOOKUP(A11,#REF!,2,FALSE),"")</f>
        <v/>
      </c>
      <c r="C11" s="149"/>
      <c r="D11" s="144" t="str">
        <f>IFERROR(VLOOKUP(C11,#REF!,2,FALSE),"")</f>
        <v/>
      </c>
      <c r="E11" s="183"/>
      <c r="F11" s="144" t="str">
        <f t="shared" si="0"/>
        <v/>
      </c>
      <c r="G11" s="182"/>
      <c r="H11" s="182"/>
      <c r="I11" s="182"/>
      <c r="J11" s="197"/>
      <c r="K11" s="196"/>
      <c r="L11" s="196"/>
      <c r="M11" s="197"/>
      <c r="N11" s="197"/>
      <c r="P11" s="139" t="str">
        <f t="shared" si="1"/>
        <v/>
      </c>
      <c r="Q11" s="139" t="str">
        <f t="shared" si="2"/>
        <v/>
      </c>
      <c r="AA11" s="139" t="s">
        <v>1735</v>
      </c>
      <c r="AB11" s="139" t="s">
        <v>1736</v>
      </c>
    </row>
    <row r="12" spans="1:28">
      <c r="A12" s="149"/>
      <c r="B12" s="144" t="str">
        <f>IFERROR(VLOOKUP(A12,#REF!,2,FALSE),"")</f>
        <v/>
      </c>
      <c r="C12" s="149"/>
      <c r="D12" s="144" t="str">
        <f>IFERROR(VLOOKUP(C12,#REF!,2,FALSE),"")</f>
        <v/>
      </c>
      <c r="E12" s="183"/>
      <c r="F12" s="144" t="str">
        <f t="shared" si="0"/>
        <v/>
      </c>
      <c r="G12" s="182"/>
      <c r="H12" s="182"/>
      <c r="I12" s="182"/>
      <c r="J12" s="197"/>
      <c r="K12" s="196"/>
      <c r="L12" s="196"/>
      <c r="M12" s="197"/>
      <c r="N12" s="197"/>
      <c r="P12" s="139" t="str">
        <f t="shared" si="1"/>
        <v/>
      </c>
      <c r="Q12" s="139" t="str">
        <f t="shared" si="2"/>
        <v/>
      </c>
      <c r="AA12" s="139" t="s">
        <v>1737</v>
      </c>
      <c r="AB12" s="139" t="s">
        <v>1738</v>
      </c>
    </row>
    <row r="13" spans="1:28">
      <c r="A13" s="149"/>
      <c r="B13" s="144" t="str">
        <f>IFERROR(VLOOKUP(A13,#REF!,2,FALSE),"")</f>
        <v/>
      </c>
      <c r="C13" s="149"/>
      <c r="D13" s="144" t="str">
        <f>IFERROR(VLOOKUP(C13,#REF!,2,FALSE),"")</f>
        <v/>
      </c>
      <c r="E13" s="183"/>
      <c r="F13" s="144" t="str">
        <f t="shared" si="0"/>
        <v/>
      </c>
      <c r="G13" s="182"/>
      <c r="H13" s="182"/>
      <c r="I13" s="182"/>
      <c r="J13" s="197"/>
      <c r="K13" s="196"/>
      <c r="L13" s="196"/>
      <c r="M13" s="197"/>
      <c r="N13" s="197"/>
      <c r="P13" s="139" t="str">
        <f t="shared" si="1"/>
        <v/>
      </c>
      <c r="Q13" s="139" t="str">
        <f t="shared" si="2"/>
        <v/>
      </c>
      <c r="AA13" s="139" t="s">
        <v>1739</v>
      </c>
      <c r="AB13" s="139" t="s">
        <v>1740</v>
      </c>
    </row>
    <row r="14" spans="1:28">
      <c r="A14" s="149"/>
      <c r="B14" s="144" t="str">
        <f>IFERROR(VLOOKUP(A14,#REF!,2,FALSE),"")</f>
        <v/>
      </c>
      <c r="C14" s="149"/>
      <c r="D14" s="144" t="str">
        <f>IFERROR(VLOOKUP(C14,#REF!,2,FALSE),"")</f>
        <v/>
      </c>
      <c r="E14" s="183"/>
      <c r="F14" s="144" t="str">
        <f t="shared" si="0"/>
        <v/>
      </c>
      <c r="G14" s="182"/>
      <c r="H14" s="182"/>
      <c r="I14" s="182"/>
      <c r="J14" s="197"/>
      <c r="K14" s="196"/>
      <c r="L14" s="196"/>
      <c r="M14" s="197"/>
      <c r="N14" s="197"/>
      <c r="P14" s="139" t="str">
        <f t="shared" si="1"/>
        <v/>
      </c>
      <c r="Q14" s="139" t="str">
        <f t="shared" si="2"/>
        <v/>
      </c>
      <c r="AA14" s="139" t="s">
        <v>1741</v>
      </c>
      <c r="AB14" s="139" t="s">
        <v>1742</v>
      </c>
    </row>
    <row r="15" spans="1:28">
      <c r="A15" s="149"/>
      <c r="B15" s="144" t="str">
        <f>IFERROR(VLOOKUP(A15,#REF!,2,FALSE),"")</f>
        <v/>
      </c>
      <c r="C15" s="149"/>
      <c r="D15" s="144" t="str">
        <f>IFERROR(VLOOKUP(C15,#REF!,2,FALSE),"")</f>
        <v/>
      </c>
      <c r="E15" s="183"/>
      <c r="F15" s="144" t="str">
        <f t="shared" si="0"/>
        <v/>
      </c>
      <c r="G15" s="182"/>
      <c r="H15" s="182"/>
      <c r="I15" s="182"/>
      <c r="J15" s="197"/>
      <c r="K15" s="196"/>
      <c r="L15" s="196"/>
      <c r="M15" s="197"/>
      <c r="N15" s="197"/>
      <c r="P15" s="139" t="str">
        <f t="shared" si="1"/>
        <v/>
      </c>
      <c r="Q15" s="139" t="str">
        <f t="shared" si="2"/>
        <v/>
      </c>
      <c r="AA15" s="139" t="s">
        <v>1743</v>
      </c>
      <c r="AB15" s="139" t="s">
        <v>1744</v>
      </c>
    </row>
    <row r="16" spans="1:28">
      <c r="A16" s="149"/>
      <c r="B16" s="144" t="str">
        <f>IFERROR(VLOOKUP(A16,#REF!,2,FALSE),"")</f>
        <v/>
      </c>
      <c r="C16" s="149"/>
      <c r="D16" s="144" t="str">
        <f>IFERROR(VLOOKUP(C16,#REF!,2,FALSE),"")</f>
        <v/>
      </c>
      <c r="E16" s="183"/>
      <c r="F16" s="144" t="str">
        <f t="shared" si="0"/>
        <v/>
      </c>
      <c r="G16" s="182"/>
      <c r="H16" s="182"/>
      <c r="I16" s="182"/>
      <c r="J16" s="197"/>
      <c r="K16" s="196"/>
      <c r="L16" s="196"/>
      <c r="M16" s="197"/>
      <c r="N16" s="197"/>
      <c r="P16" s="139" t="str">
        <f t="shared" si="1"/>
        <v/>
      </c>
      <c r="Q16" s="139" t="str">
        <f t="shared" si="2"/>
        <v/>
      </c>
      <c r="AA16" s="139" t="s">
        <v>1745</v>
      </c>
      <c r="AB16" s="139" t="s">
        <v>1746</v>
      </c>
    </row>
    <row r="17" spans="1:28">
      <c r="A17" s="149"/>
      <c r="B17" s="144" t="str">
        <f>IFERROR(VLOOKUP(A17,#REF!,2,FALSE),"")</f>
        <v/>
      </c>
      <c r="C17" s="149"/>
      <c r="D17" s="144" t="str">
        <f>IFERROR(VLOOKUP(C17,#REF!,2,FALSE),"")</f>
        <v/>
      </c>
      <c r="E17" s="183"/>
      <c r="F17" s="144" t="str">
        <f t="shared" si="0"/>
        <v/>
      </c>
      <c r="G17" s="182"/>
      <c r="H17" s="182"/>
      <c r="I17" s="182"/>
      <c r="J17" s="197"/>
      <c r="K17" s="196"/>
      <c r="L17" s="196"/>
      <c r="M17" s="197"/>
      <c r="N17" s="197"/>
      <c r="P17" s="139" t="str">
        <f t="shared" si="1"/>
        <v/>
      </c>
      <c r="Q17" s="139" t="str">
        <f t="shared" si="2"/>
        <v/>
      </c>
      <c r="AA17" s="139" t="s">
        <v>1747</v>
      </c>
      <c r="AB17" s="139" t="s">
        <v>1748</v>
      </c>
    </row>
    <row r="18" spans="1:28">
      <c r="A18" s="149"/>
      <c r="B18" s="144" t="str">
        <f>IFERROR(VLOOKUP(A18,#REF!,2,FALSE),"")</f>
        <v/>
      </c>
      <c r="C18" s="149"/>
      <c r="D18" s="144" t="str">
        <f>IFERROR(VLOOKUP(C18,#REF!,2,FALSE),"")</f>
        <v/>
      </c>
      <c r="E18" s="183"/>
      <c r="F18" s="144" t="str">
        <f t="shared" si="0"/>
        <v/>
      </c>
      <c r="G18" s="182"/>
      <c r="H18" s="182"/>
      <c r="I18" s="182"/>
      <c r="J18" s="197"/>
      <c r="K18" s="196"/>
      <c r="L18" s="196"/>
      <c r="M18" s="197"/>
      <c r="N18" s="197"/>
      <c r="P18" s="139" t="str">
        <f t="shared" si="1"/>
        <v/>
      </c>
      <c r="Q18" s="139" t="str">
        <f t="shared" si="2"/>
        <v/>
      </c>
      <c r="AA18" s="139" t="s">
        <v>1749</v>
      </c>
      <c r="AB18" s="139" t="s">
        <v>1750</v>
      </c>
    </row>
    <row r="19" spans="1:28">
      <c r="A19" s="149"/>
      <c r="B19" s="144" t="str">
        <f>IFERROR(VLOOKUP(A19,#REF!,2,FALSE),"")</f>
        <v/>
      </c>
      <c r="C19" s="149"/>
      <c r="D19" s="144" t="str">
        <f>IFERROR(VLOOKUP(C19,#REF!,2,FALSE),"")</f>
        <v/>
      </c>
      <c r="E19" s="183"/>
      <c r="F19" s="144" t="str">
        <f t="shared" si="0"/>
        <v/>
      </c>
      <c r="G19" s="182"/>
      <c r="H19" s="182"/>
      <c r="I19" s="182"/>
      <c r="J19" s="197"/>
      <c r="K19" s="196"/>
      <c r="L19" s="196"/>
      <c r="M19" s="197"/>
      <c r="N19" s="197"/>
      <c r="P19" s="139" t="str">
        <f t="shared" si="1"/>
        <v/>
      </c>
      <c r="Q19" s="139" t="str">
        <f t="shared" si="2"/>
        <v/>
      </c>
      <c r="AA19" s="139" t="s">
        <v>1751</v>
      </c>
      <c r="AB19" s="139" t="s">
        <v>1752</v>
      </c>
    </row>
    <row r="20" spans="1:28">
      <c r="A20" s="149"/>
      <c r="B20" s="144" t="str">
        <f>IFERROR(VLOOKUP(A20,#REF!,2,FALSE),"")</f>
        <v/>
      </c>
      <c r="C20" s="149"/>
      <c r="D20" s="144" t="str">
        <f>IFERROR(VLOOKUP(C20,#REF!,2,FALSE),"")</f>
        <v/>
      </c>
      <c r="E20" s="183"/>
      <c r="F20" s="144" t="str">
        <f t="shared" si="0"/>
        <v/>
      </c>
      <c r="G20" s="182"/>
      <c r="H20" s="182"/>
      <c r="I20" s="182"/>
      <c r="J20" s="197"/>
      <c r="K20" s="196"/>
      <c r="L20" s="196"/>
      <c r="M20" s="197"/>
      <c r="N20" s="197"/>
      <c r="P20" s="139" t="str">
        <f t="shared" si="1"/>
        <v/>
      </c>
      <c r="Q20" s="139" t="str">
        <f t="shared" si="2"/>
        <v/>
      </c>
      <c r="AA20" s="139" t="s">
        <v>1753</v>
      </c>
      <c r="AB20" s="139" t="s">
        <v>1754</v>
      </c>
    </row>
    <row r="21" spans="1:28">
      <c r="A21" s="149"/>
      <c r="B21" s="144" t="str">
        <f>IFERROR(VLOOKUP(A21,#REF!,2,FALSE),"")</f>
        <v/>
      </c>
      <c r="C21" s="149"/>
      <c r="D21" s="144" t="str">
        <f>IFERROR(VLOOKUP(C21,#REF!,2,FALSE),"")</f>
        <v/>
      </c>
      <c r="E21" s="183"/>
      <c r="F21" s="144" t="str">
        <f t="shared" si="0"/>
        <v/>
      </c>
      <c r="G21" s="182"/>
      <c r="H21" s="182"/>
      <c r="I21" s="182"/>
      <c r="J21" s="197"/>
      <c r="K21" s="196"/>
      <c r="L21" s="196"/>
      <c r="M21" s="197"/>
      <c r="N21" s="197"/>
      <c r="P21" s="139" t="str">
        <f t="shared" si="1"/>
        <v/>
      </c>
      <c r="Q21" s="139" t="str">
        <f t="shared" si="2"/>
        <v/>
      </c>
      <c r="AA21" s="139" t="s">
        <v>1755</v>
      </c>
      <c r="AB21" s="139" t="s">
        <v>1756</v>
      </c>
    </row>
    <row r="22" spans="1:28">
      <c r="A22" s="149"/>
      <c r="B22" s="144" t="str">
        <f>IFERROR(VLOOKUP(A22,#REF!,2,FALSE),"")</f>
        <v/>
      </c>
      <c r="C22" s="149"/>
      <c r="D22" s="144" t="str">
        <f>IFERROR(VLOOKUP(C22,#REF!,2,FALSE),"")</f>
        <v/>
      </c>
      <c r="E22" s="183"/>
      <c r="F22" s="144" t="str">
        <f t="shared" si="0"/>
        <v/>
      </c>
      <c r="G22" s="182"/>
      <c r="H22" s="182"/>
      <c r="I22" s="182"/>
      <c r="J22" s="197"/>
      <c r="K22" s="196"/>
      <c r="L22" s="196"/>
      <c r="M22" s="197"/>
      <c r="N22" s="197"/>
      <c r="P22" s="139" t="str">
        <f t="shared" si="1"/>
        <v/>
      </c>
      <c r="Q22" s="139" t="str">
        <f t="shared" si="2"/>
        <v/>
      </c>
      <c r="AA22" s="139" t="s">
        <v>1757</v>
      </c>
      <c r="AB22" s="139" t="s">
        <v>1758</v>
      </c>
    </row>
    <row r="23" spans="1:28">
      <c r="A23" s="149"/>
      <c r="B23" s="144" t="str">
        <f>IFERROR(VLOOKUP(A23,#REF!,2,FALSE),"")</f>
        <v/>
      </c>
      <c r="C23" s="149"/>
      <c r="D23" s="144" t="str">
        <f>IFERROR(VLOOKUP(C23,#REF!,2,FALSE),"")</f>
        <v/>
      </c>
      <c r="E23" s="183"/>
      <c r="F23" s="144" t="str">
        <f t="shared" si="0"/>
        <v/>
      </c>
      <c r="G23" s="182"/>
      <c r="H23" s="182"/>
      <c r="I23" s="182"/>
      <c r="J23" s="197"/>
      <c r="K23" s="196"/>
      <c r="L23" s="196"/>
      <c r="M23" s="197"/>
      <c r="N23" s="197"/>
      <c r="P23" s="139" t="str">
        <f t="shared" si="1"/>
        <v/>
      </c>
      <c r="Q23" s="139" t="str">
        <f t="shared" si="2"/>
        <v/>
      </c>
      <c r="AA23" s="139" t="s">
        <v>2606</v>
      </c>
      <c r="AB23" s="139" t="s">
        <v>2607</v>
      </c>
    </row>
    <row r="24" spans="1:28">
      <c r="A24" s="149"/>
      <c r="B24" s="144" t="str">
        <f>IFERROR(VLOOKUP(A24,#REF!,2,FALSE),"")</f>
        <v/>
      </c>
      <c r="C24" s="149"/>
      <c r="D24" s="144" t="str">
        <f>IFERROR(VLOOKUP(C24,#REF!,2,FALSE),"")</f>
        <v/>
      </c>
      <c r="E24" s="183"/>
      <c r="F24" s="144" t="str">
        <f t="shared" si="0"/>
        <v/>
      </c>
      <c r="G24" s="182"/>
      <c r="H24" s="182"/>
      <c r="I24" s="182"/>
      <c r="J24" s="197"/>
      <c r="K24" s="196"/>
      <c r="L24" s="196"/>
      <c r="M24" s="197"/>
      <c r="N24" s="197"/>
      <c r="P24" s="139" t="str">
        <f t="shared" si="1"/>
        <v/>
      </c>
      <c r="Q24" s="139" t="str">
        <f t="shared" si="2"/>
        <v/>
      </c>
      <c r="AA24" s="139" t="s">
        <v>2608</v>
      </c>
      <c r="AB24" s="139" t="s">
        <v>2609</v>
      </c>
    </row>
    <row r="25" spans="1:28">
      <c r="A25" s="149"/>
      <c r="B25" s="144" t="str">
        <f>IFERROR(VLOOKUP(A25,#REF!,2,FALSE),"")</f>
        <v/>
      </c>
      <c r="C25" s="149"/>
      <c r="D25" s="144" t="str">
        <f>IFERROR(VLOOKUP(C25,#REF!,2,FALSE),"")</f>
        <v/>
      </c>
      <c r="E25" s="183"/>
      <c r="F25" s="144" t="str">
        <f t="shared" si="0"/>
        <v/>
      </c>
      <c r="G25" s="182"/>
      <c r="H25" s="182"/>
      <c r="I25" s="182"/>
      <c r="J25" s="197"/>
      <c r="K25" s="196"/>
      <c r="L25" s="196"/>
      <c r="M25" s="197"/>
      <c r="N25" s="197"/>
      <c r="P25" s="139" t="str">
        <f t="shared" si="1"/>
        <v/>
      </c>
      <c r="Q25" s="139" t="str">
        <f t="shared" si="2"/>
        <v/>
      </c>
      <c r="AA25" s="139" t="s">
        <v>2610</v>
      </c>
      <c r="AB25" s="139" t="s">
        <v>2611</v>
      </c>
    </row>
    <row r="26" spans="1:28">
      <c r="A26" s="149"/>
      <c r="B26" s="144" t="str">
        <f>IFERROR(VLOOKUP(A26,#REF!,2,FALSE),"")</f>
        <v/>
      </c>
      <c r="C26" s="149"/>
      <c r="D26" s="144" t="str">
        <f>IFERROR(VLOOKUP(C26,#REF!,2,FALSE),"")</f>
        <v/>
      </c>
      <c r="E26" s="183"/>
      <c r="F26" s="144" t="str">
        <f t="shared" si="0"/>
        <v/>
      </c>
      <c r="G26" s="182"/>
      <c r="H26" s="182"/>
      <c r="I26" s="182"/>
      <c r="J26" s="197"/>
      <c r="K26" s="196"/>
      <c r="L26" s="196"/>
      <c r="M26" s="197"/>
      <c r="N26" s="197"/>
      <c r="P26" s="139" t="str">
        <f t="shared" si="1"/>
        <v/>
      </c>
      <c r="Q26" s="139" t="str">
        <f t="shared" si="2"/>
        <v/>
      </c>
      <c r="AA26" s="139" t="s">
        <v>2612</v>
      </c>
      <c r="AB26" s="139" t="s">
        <v>2613</v>
      </c>
    </row>
    <row r="27" spans="1:28">
      <c r="A27" s="149"/>
      <c r="B27" s="144" t="str">
        <f>IFERROR(VLOOKUP(A27,#REF!,2,FALSE),"")</f>
        <v/>
      </c>
      <c r="C27" s="149"/>
      <c r="D27" s="144" t="str">
        <f>IFERROR(VLOOKUP(C27,#REF!,2,FALSE),"")</f>
        <v/>
      </c>
      <c r="E27" s="183"/>
      <c r="F27" s="144" t="str">
        <f t="shared" si="0"/>
        <v/>
      </c>
      <c r="G27" s="182"/>
      <c r="H27" s="182"/>
      <c r="I27" s="182"/>
      <c r="J27" s="197"/>
      <c r="K27" s="196"/>
      <c r="L27" s="196"/>
      <c r="M27" s="197"/>
      <c r="N27" s="197"/>
      <c r="P27" s="139" t="str">
        <f t="shared" si="1"/>
        <v/>
      </c>
      <c r="Q27" s="139" t="str">
        <f t="shared" si="2"/>
        <v/>
      </c>
      <c r="AA27" s="139" t="s">
        <v>2614</v>
      </c>
      <c r="AB27" s="139" t="s">
        <v>2615</v>
      </c>
    </row>
    <row r="28" spans="1:28">
      <c r="A28" s="149"/>
      <c r="B28" s="144" t="str">
        <f>IFERROR(VLOOKUP(A28,#REF!,2,FALSE),"")</f>
        <v/>
      </c>
      <c r="C28" s="149"/>
      <c r="D28" s="144" t="str">
        <f>IFERROR(VLOOKUP(C28,#REF!,2,FALSE),"")</f>
        <v/>
      </c>
      <c r="E28" s="183"/>
      <c r="F28" s="144" t="str">
        <f t="shared" si="0"/>
        <v/>
      </c>
      <c r="G28" s="182"/>
      <c r="H28" s="182"/>
      <c r="I28" s="182"/>
      <c r="J28" s="197"/>
      <c r="K28" s="196"/>
      <c r="L28" s="196"/>
      <c r="M28" s="197"/>
      <c r="N28" s="197"/>
      <c r="P28" s="139" t="str">
        <f t="shared" si="1"/>
        <v/>
      </c>
      <c r="Q28" s="139" t="str">
        <f t="shared" si="2"/>
        <v/>
      </c>
      <c r="AA28" s="139" t="s">
        <v>2616</v>
      </c>
      <c r="AB28" s="139" t="s">
        <v>2617</v>
      </c>
    </row>
    <row r="29" spans="1:28">
      <c r="A29" s="149"/>
      <c r="B29" s="144" t="str">
        <f>IFERROR(VLOOKUP(A29,#REF!,2,FALSE),"")</f>
        <v/>
      </c>
      <c r="C29" s="149"/>
      <c r="D29" s="144" t="str">
        <f>IFERROR(VLOOKUP(C29,#REF!,2,FALSE),"")</f>
        <v/>
      </c>
      <c r="E29" s="183"/>
      <c r="F29" s="144" t="str">
        <f t="shared" si="0"/>
        <v/>
      </c>
      <c r="G29" s="182"/>
      <c r="H29" s="182"/>
      <c r="I29" s="182"/>
      <c r="J29" s="197"/>
      <c r="K29" s="196"/>
      <c r="L29" s="196"/>
      <c r="M29" s="197"/>
      <c r="N29" s="197"/>
      <c r="P29" s="139" t="str">
        <f t="shared" si="1"/>
        <v/>
      </c>
      <c r="Q29" s="139" t="str">
        <f t="shared" si="2"/>
        <v/>
      </c>
      <c r="AA29" s="139" t="s">
        <v>2618</v>
      </c>
      <c r="AB29" s="139" t="s">
        <v>2619</v>
      </c>
    </row>
    <row r="30" spans="1:28">
      <c r="A30" s="149"/>
      <c r="B30" s="144" t="str">
        <f>IFERROR(VLOOKUP(A30,#REF!,2,FALSE),"")</f>
        <v/>
      </c>
      <c r="C30" s="149"/>
      <c r="D30" s="144" t="str">
        <f>IFERROR(VLOOKUP(C30,#REF!,2,FALSE),"")</f>
        <v/>
      </c>
      <c r="E30" s="183"/>
      <c r="F30" s="144" t="str">
        <f t="shared" si="0"/>
        <v/>
      </c>
      <c r="G30" s="182"/>
      <c r="H30" s="182"/>
      <c r="I30" s="182"/>
      <c r="J30" s="197"/>
      <c r="K30" s="196"/>
      <c r="L30" s="196"/>
      <c r="M30" s="197"/>
      <c r="N30" s="197"/>
      <c r="P30" s="139" t="str">
        <f t="shared" si="1"/>
        <v/>
      </c>
      <c r="Q30" s="139" t="str">
        <f t="shared" si="2"/>
        <v/>
      </c>
      <c r="AA30" s="139" t="s">
        <v>2620</v>
      </c>
      <c r="AB30" s="139" t="s">
        <v>2621</v>
      </c>
    </row>
    <row r="31" spans="1:28">
      <c r="A31" s="149"/>
      <c r="B31" s="144" t="str">
        <f>IFERROR(VLOOKUP(A31,#REF!,2,FALSE),"")</f>
        <v/>
      </c>
      <c r="C31" s="149"/>
      <c r="D31" s="144" t="str">
        <f>IFERROR(VLOOKUP(C31,#REF!,2,FALSE),"")</f>
        <v/>
      </c>
      <c r="E31" s="183"/>
      <c r="F31" s="144" t="str">
        <f t="shared" si="0"/>
        <v/>
      </c>
      <c r="G31" s="182"/>
      <c r="H31" s="182"/>
      <c r="I31" s="182"/>
      <c r="J31" s="197"/>
      <c r="K31" s="196"/>
      <c r="L31" s="196"/>
      <c r="M31" s="197"/>
      <c r="N31" s="197"/>
      <c r="P31" s="139" t="str">
        <f t="shared" si="1"/>
        <v/>
      </c>
      <c r="Q31" s="139" t="str">
        <f t="shared" si="2"/>
        <v/>
      </c>
      <c r="AA31" s="139" t="s">
        <v>2622</v>
      </c>
      <c r="AB31" s="139" t="s">
        <v>2623</v>
      </c>
    </row>
    <row r="32" spans="1:28">
      <c r="A32" s="149"/>
      <c r="B32" s="144" t="str">
        <f>IFERROR(VLOOKUP(A32,#REF!,2,FALSE),"")</f>
        <v/>
      </c>
      <c r="C32" s="149"/>
      <c r="D32" s="144" t="str">
        <f>IFERROR(VLOOKUP(C32,#REF!,2,FALSE),"")</f>
        <v/>
      </c>
      <c r="E32" s="183"/>
      <c r="F32" s="144" t="str">
        <f t="shared" si="0"/>
        <v/>
      </c>
      <c r="G32" s="182"/>
      <c r="H32" s="182"/>
      <c r="I32" s="182"/>
      <c r="J32" s="197"/>
      <c r="K32" s="196"/>
      <c r="L32" s="196"/>
      <c r="M32" s="197"/>
      <c r="N32" s="197"/>
      <c r="P32" s="139" t="str">
        <f t="shared" si="1"/>
        <v/>
      </c>
      <c r="Q32" s="139" t="str">
        <f t="shared" si="2"/>
        <v/>
      </c>
      <c r="AA32" s="139" t="s">
        <v>2624</v>
      </c>
      <c r="AB32" s="139" t="s">
        <v>2625</v>
      </c>
    </row>
    <row r="33" spans="1:28">
      <c r="A33" s="149"/>
      <c r="B33" s="144" t="str">
        <f>IFERROR(VLOOKUP(A33,#REF!,2,FALSE),"")</f>
        <v/>
      </c>
      <c r="C33" s="149"/>
      <c r="D33" s="144" t="str">
        <f>IFERROR(VLOOKUP(C33,#REF!,2,FALSE),"")</f>
        <v/>
      </c>
      <c r="E33" s="183"/>
      <c r="F33" s="144" t="str">
        <f t="shared" si="0"/>
        <v/>
      </c>
      <c r="G33" s="182"/>
      <c r="H33" s="182"/>
      <c r="I33" s="182"/>
      <c r="J33" s="197"/>
      <c r="K33" s="196"/>
      <c r="L33" s="196"/>
      <c r="M33" s="197"/>
      <c r="N33" s="197"/>
      <c r="P33" s="139" t="str">
        <f t="shared" si="1"/>
        <v/>
      </c>
      <c r="Q33" s="139" t="str">
        <f t="shared" si="2"/>
        <v/>
      </c>
      <c r="AA33" s="139" t="s">
        <v>2626</v>
      </c>
      <c r="AB33" s="139" t="s">
        <v>2627</v>
      </c>
    </row>
    <row r="34" spans="1:28">
      <c r="A34" s="149"/>
      <c r="B34" s="144" t="str">
        <f>IFERROR(VLOOKUP(A34,#REF!,2,FALSE),"")</f>
        <v/>
      </c>
      <c r="C34" s="149"/>
      <c r="D34" s="144" t="str">
        <f>IFERROR(VLOOKUP(C34,#REF!,2,FALSE),"")</f>
        <v/>
      </c>
      <c r="E34" s="183"/>
      <c r="F34" s="144" t="str">
        <f t="shared" si="0"/>
        <v/>
      </c>
      <c r="G34" s="182"/>
      <c r="H34" s="182"/>
      <c r="I34" s="182"/>
      <c r="J34" s="197"/>
      <c r="K34" s="196"/>
      <c r="L34" s="196"/>
      <c r="M34" s="197"/>
      <c r="N34" s="197"/>
      <c r="P34" s="139" t="str">
        <f t="shared" si="1"/>
        <v/>
      </c>
      <c r="Q34" s="139" t="str">
        <f t="shared" si="2"/>
        <v/>
      </c>
      <c r="AA34" s="139" t="s">
        <v>2628</v>
      </c>
      <c r="AB34" s="139" t="s">
        <v>2629</v>
      </c>
    </row>
    <row r="35" spans="1:28" ht="15.75" customHeight="1">
      <c r="AA35" s="139" t="s">
        <v>2630</v>
      </c>
      <c r="AB35" s="139" t="s">
        <v>2631</v>
      </c>
    </row>
    <row r="36" spans="1:28" hidden="1">
      <c r="AA36" s="139" t="s">
        <v>2632</v>
      </c>
      <c r="AB36" s="139" t="s">
        <v>2633</v>
      </c>
    </row>
    <row r="37" spans="1:28" hidden="1">
      <c r="AA37" s="139" t="s">
        <v>2634</v>
      </c>
      <c r="AB37" s="139" t="s">
        <v>2635</v>
      </c>
    </row>
    <row r="38" spans="1:28" hidden="1">
      <c r="AA38" s="139" t="s">
        <v>2636</v>
      </c>
      <c r="AB38" s="139" t="s">
        <v>2637</v>
      </c>
    </row>
    <row r="39" spans="1:28" hidden="1">
      <c r="AA39" s="139" t="s">
        <v>2638</v>
      </c>
      <c r="AB39" s="139" t="s">
        <v>2639</v>
      </c>
    </row>
    <row r="40" spans="1:28" hidden="1">
      <c r="AA40" s="139" t="s">
        <v>2640</v>
      </c>
      <c r="AB40" s="139" t="s">
        <v>2641</v>
      </c>
    </row>
    <row r="41" spans="1:28" hidden="1">
      <c r="AA41" s="139" t="s">
        <v>2642</v>
      </c>
      <c r="AB41" s="139" t="s">
        <v>2643</v>
      </c>
    </row>
    <row r="42" spans="1:28" hidden="1">
      <c r="AA42" s="139" t="s">
        <v>2644</v>
      </c>
      <c r="AB42" s="139" t="s">
        <v>2645</v>
      </c>
    </row>
    <row r="43" spans="1:28" hidden="1">
      <c r="AA43" s="139" t="s">
        <v>2646</v>
      </c>
      <c r="AB43" s="139" t="s">
        <v>2647</v>
      </c>
    </row>
    <row r="44" spans="1:28" hidden="1">
      <c r="AA44" s="139" t="s">
        <v>2648</v>
      </c>
      <c r="AB44" s="139" t="s">
        <v>2649</v>
      </c>
    </row>
    <row r="45" spans="1:28" hidden="1">
      <c r="AA45" s="139" t="s">
        <v>2650</v>
      </c>
      <c r="AB45" s="139" t="s">
        <v>2651</v>
      </c>
    </row>
    <row r="46" spans="1:28" hidden="1">
      <c r="AA46" s="139" t="s">
        <v>2652</v>
      </c>
      <c r="AB46" s="139" t="s">
        <v>2653</v>
      </c>
    </row>
    <row r="47" spans="1:28" hidden="1">
      <c r="AA47" s="139" t="s">
        <v>2654</v>
      </c>
      <c r="AB47" s="139" t="s">
        <v>2655</v>
      </c>
    </row>
    <row r="48" spans="1:28" hidden="1">
      <c r="AA48" s="139" t="s">
        <v>2656</v>
      </c>
      <c r="AB48" s="139" t="s">
        <v>2657</v>
      </c>
    </row>
    <row r="49" spans="27:28" hidden="1">
      <c r="AA49" s="139" t="s">
        <v>2658</v>
      </c>
      <c r="AB49" s="139" t="s">
        <v>2659</v>
      </c>
    </row>
    <row r="50" spans="27:28" hidden="1">
      <c r="AA50" s="139" t="s">
        <v>2660</v>
      </c>
      <c r="AB50" s="139" t="s">
        <v>2661</v>
      </c>
    </row>
    <row r="51" spans="27:28" hidden="1">
      <c r="AA51" s="139" t="s">
        <v>2662</v>
      </c>
      <c r="AB51" s="139" t="s">
        <v>2663</v>
      </c>
    </row>
    <row r="52" spans="27:28" hidden="1">
      <c r="AA52" s="139" t="s">
        <v>2664</v>
      </c>
      <c r="AB52" s="139" t="s">
        <v>2665</v>
      </c>
    </row>
    <row r="53" spans="27:28" hidden="1">
      <c r="AA53" s="139" t="s">
        <v>2666</v>
      </c>
      <c r="AB53" s="139" t="s">
        <v>2667</v>
      </c>
    </row>
    <row r="54" spans="27:28" hidden="1">
      <c r="AA54" s="139" t="s">
        <v>2668</v>
      </c>
      <c r="AB54" s="139" t="s">
        <v>2669</v>
      </c>
    </row>
    <row r="55" spans="27:28" hidden="1">
      <c r="AA55" s="139" t="s">
        <v>2670</v>
      </c>
      <c r="AB55" s="139" t="s">
        <v>2671</v>
      </c>
    </row>
    <row r="56" spans="27:28" hidden="1">
      <c r="AA56" s="139" t="s">
        <v>2672</v>
      </c>
      <c r="AB56" s="139" t="s">
        <v>2673</v>
      </c>
    </row>
    <row r="57" spans="27:28" hidden="1">
      <c r="AA57" s="139" t="s">
        <v>2674</v>
      </c>
      <c r="AB57" s="139" t="s">
        <v>2675</v>
      </c>
    </row>
    <row r="58" spans="27:28" hidden="1">
      <c r="AA58" s="139" t="s">
        <v>2676</v>
      </c>
      <c r="AB58" s="139" t="s">
        <v>2677</v>
      </c>
    </row>
    <row r="59" spans="27:28" hidden="1">
      <c r="AA59" s="139" t="s">
        <v>2678</v>
      </c>
      <c r="AB59" s="139" t="s">
        <v>2679</v>
      </c>
    </row>
    <row r="60" spans="27:28" hidden="1">
      <c r="AA60" s="139" t="s">
        <v>2680</v>
      </c>
      <c r="AB60" s="139" t="s">
        <v>2681</v>
      </c>
    </row>
    <row r="61" spans="27:28" hidden="1">
      <c r="AA61" s="139" t="s">
        <v>2682</v>
      </c>
      <c r="AB61" s="139" t="s">
        <v>2683</v>
      </c>
    </row>
    <row r="62" spans="27:28" hidden="1">
      <c r="AA62" s="139" t="s">
        <v>2684</v>
      </c>
      <c r="AB62" s="139" t="s">
        <v>1584</v>
      </c>
    </row>
    <row r="63" spans="27:28" hidden="1">
      <c r="AA63" s="139" t="s">
        <v>2685</v>
      </c>
      <c r="AB63" s="139" t="s">
        <v>2686</v>
      </c>
    </row>
    <row r="64" spans="27:28" hidden="1">
      <c r="AA64" s="139" t="s">
        <v>2687</v>
      </c>
      <c r="AB64" s="139" t="s">
        <v>2688</v>
      </c>
    </row>
    <row r="65" spans="27:28" hidden="1">
      <c r="AA65" s="139" t="s">
        <v>2689</v>
      </c>
      <c r="AB65" s="139" t="s">
        <v>2690</v>
      </c>
    </row>
    <row r="66" spans="27:28" hidden="1">
      <c r="AA66" s="139" t="s">
        <v>2691</v>
      </c>
      <c r="AB66" s="139" t="s">
        <v>2692</v>
      </c>
    </row>
    <row r="67" spans="27:28" hidden="1">
      <c r="AA67" s="139" t="s">
        <v>2693</v>
      </c>
      <c r="AB67" s="139" t="s">
        <v>2694</v>
      </c>
    </row>
    <row r="68" spans="27:28" hidden="1">
      <c r="AA68" s="139" t="s">
        <v>2695</v>
      </c>
      <c r="AB68" s="139" t="s">
        <v>2696</v>
      </c>
    </row>
    <row r="69" spans="27:28" hidden="1">
      <c r="AA69" s="139" t="s">
        <v>2697</v>
      </c>
      <c r="AB69" s="139" t="s">
        <v>2698</v>
      </c>
    </row>
    <row r="70" spans="27:28" hidden="1">
      <c r="AA70" s="139" t="s">
        <v>2699</v>
      </c>
      <c r="AB70" s="139" t="s">
        <v>2700</v>
      </c>
    </row>
    <row r="71" spans="27:28" hidden="1">
      <c r="AA71" s="139" t="s">
        <v>2701</v>
      </c>
      <c r="AB71" s="139" t="s">
        <v>2702</v>
      </c>
    </row>
    <row r="72" spans="27:28" hidden="1">
      <c r="AA72" s="139" t="s">
        <v>2703</v>
      </c>
      <c r="AB72" s="139" t="s">
        <v>2704</v>
      </c>
    </row>
    <row r="73" spans="27:28" hidden="1">
      <c r="AA73" s="139" t="s">
        <v>2705</v>
      </c>
      <c r="AB73" s="139" t="s">
        <v>2706</v>
      </c>
    </row>
    <row r="74" spans="27:28" hidden="1">
      <c r="AA74" s="139" t="s">
        <v>2707</v>
      </c>
      <c r="AB74" s="139" t="s">
        <v>2708</v>
      </c>
    </row>
    <row r="75" spans="27:28" hidden="1">
      <c r="AA75" s="139" t="s">
        <v>2709</v>
      </c>
      <c r="AB75" s="139" t="s">
        <v>2710</v>
      </c>
    </row>
    <row r="76" spans="27:28" hidden="1">
      <c r="AA76" s="139" t="s">
        <v>2711</v>
      </c>
      <c r="AB76" s="139" t="s">
        <v>2712</v>
      </c>
    </row>
    <row r="77" spans="27:28" hidden="1">
      <c r="AA77" s="139" t="s">
        <v>2713</v>
      </c>
      <c r="AB77" s="139" t="s">
        <v>2714</v>
      </c>
    </row>
    <row r="78" spans="27:28" hidden="1">
      <c r="AA78" s="139" t="s">
        <v>2715</v>
      </c>
      <c r="AB78" s="139" t="s">
        <v>2716</v>
      </c>
    </row>
    <row r="79" spans="27:28" hidden="1">
      <c r="AA79" s="139" t="s">
        <v>2717</v>
      </c>
      <c r="AB79" s="139" t="s">
        <v>2718</v>
      </c>
    </row>
    <row r="80" spans="27:28" hidden="1">
      <c r="AA80" s="139" t="s">
        <v>2719</v>
      </c>
      <c r="AB80" s="139" t="s">
        <v>2720</v>
      </c>
    </row>
    <row r="81" spans="27:28" hidden="1">
      <c r="AA81" s="139" t="s">
        <v>2721</v>
      </c>
      <c r="AB81" s="139" t="s">
        <v>2722</v>
      </c>
    </row>
    <row r="82" spans="27:28" hidden="1">
      <c r="AA82" s="139" t="s">
        <v>2723</v>
      </c>
      <c r="AB82" s="139" t="s">
        <v>2724</v>
      </c>
    </row>
    <row r="83" spans="27:28" hidden="1">
      <c r="AA83" s="139" t="s">
        <v>2725</v>
      </c>
      <c r="AB83" s="139" t="s">
        <v>2726</v>
      </c>
    </row>
    <row r="84" spans="27:28" hidden="1">
      <c r="AA84" s="139" t="s">
        <v>2727</v>
      </c>
      <c r="AB84" s="139" t="s">
        <v>2728</v>
      </c>
    </row>
    <row r="85" spans="27:28" hidden="1">
      <c r="AA85" s="139" t="s">
        <v>2729</v>
      </c>
      <c r="AB85" s="139" t="s">
        <v>2730</v>
      </c>
    </row>
    <row r="86" spans="27:28" hidden="1">
      <c r="AA86" s="139" t="s">
        <v>2731</v>
      </c>
      <c r="AB86" s="139" t="s">
        <v>2732</v>
      </c>
    </row>
    <row r="87" spans="27:28" hidden="1">
      <c r="AA87" s="139" t="s">
        <v>2733</v>
      </c>
      <c r="AB87" s="139" t="s">
        <v>2734</v>
      </c>
    </row>
    <row r="88" spans="27:28" hidden="1">
      <c r="AA88" s="139" t="s">
        <v>2735</v>
      </c>
      <c r="AB88" s="139" t="s">
        <v>2736</v>
      </c>
    </row>
    <row r="89" spans="27:28" hidden="1">
      <c r="AA89" s="139" t="s">
        <v>2737</v>
      </c>
      <c r="AB89" s="139" t="s">
        <v>2738</v>
      </c>
    </row>
    <row r="90" spans="27:28" hidden="1">
      <c r="AA90" s="139" t="s">
        <v>2739</v>
      </c>
      <c r="AB90" s="139" t="s">
        <v>2740</v>
      </c>
    </row>
    <row r="91" spans="27:28" hidden="1">
      <c r="AA91" s="139" t="s">
        <v>2741</v>
      </c>
      <c r="AB91" s="139" t="s">
        <v>2742</v>
      </c>
    </row>
    <row r="92" spans="27:28" hidden="1">
      <c r="AA92" s="139" t="s">
        <v>2743</v>
      </c>
      <c r="AB92" s="139" t="s">
        <v>2744</v>
      </c>
    </row>
    <row r="93" spans="27:28" hidden="1">
      <c r="AA93" s="139" t="s">
        <v>2745</v>
      </c>
      <c r="AB93" s="139" t="s">
        <v>2746</v>
      </c>
    </row>
    <row r="94" spans="27:28" hidden="1">
      <c r="AA94" s="139" t="s">
        <v>2747</v>
      </c>
      <c r="AB94" s="139" t="s">
        <v>2748</v>
      </c>
    </row>
    <row r="95" spans="27:28" hidden="1">
      <c r="AA95" s="139" t="s">
        <v>2749</v>
      </c>
      <c r="AB95" s="139" t="s">
        <v>2750</v>
      </c>
    </row>
    <row r="96" spans="27:28" hidden="1">
      <c r="AA96" s="139" t="s">
        <v>2751</v>
      </c>
      <c r="AB96" s="139" t="s">
        <v>1750</v>
      </c>
    </row>
    <row r="97" spans="27:28" hidden="1">
      <c r="AA97" s="139" t="s">
        <v>2752</v>
      </c>
      <c r="AB97" s="139" t="s">
        <v>2753</v>
      </c>
    </row>
    <row r="98" spans="27:28" hidden="1">
      <c r="AA98" s="139" t="s">
        <v>2754</v>
      </c>
      <c r="AB98" s="139" t="s">
        <v>2755</v>
      </c>
    </row>
    <row r="99" spans="27:28" hidden="1">
      <c r="AA99" s="139" t="s">
        <v>2756</v>
      </c>
      <c r="AB99" s="139" t="s">
        <v>2757</v>
      </c>
    </row>
    <row r="100" spans="27:28" hidden="1">
      <c r="AA100" s="139" t="s">
        <v>2758</v>
      </c>
      <c r="AB100" s="139" t="s">
        <v>2759</v>
      </c>
    </row>
    <row r="101" spans="27:28" hidden="1">
      <c r="AA101" s="139" t="s">
        <v>2760</v>
      </c>
      <c r="AB101" s="139" t="s">
        <v>2761</v>
      </c>
    </row>
    <row r="102" spans="27:28" hidden="1">
      <c r="AA102" s="139" t="s">
        <v>2762</v>
      </c>
      <c r="AB102" s="139" t="s">
        <v>2763</v>
      </c>
    </row>
    <row r="103" spans="27:28" hidden="1">
      <c r="AA103" s="139" t="s">
        <v>2764</v>
      </c>
      <c r="AB103" s="139" t="s">
        <v>2765</v>
      </c>
    </row>
    <row r="104" spans="27:28" hidden="1">
      <c r="AA104" s="139" t="s">
        <v>2766</v>
      </c>
      <c r="AB104" s="139" t="s">
        <v>2767</v>
      </c>
    </row>
    <row r="105" spans="27:28" hidden="1">
      <c r="AA105" s="139" t="s">
        <v>2768</v>
      </c>
      <c r="AB105" s="139" t="s">
        <v>2769</v>
      </c>
    </row>
    <row r="106" spans="27:28" hidden="1">
      <c r="AA106" s="139" t="s">
        <v>2770</v>
      </c>
      <c r="AB106" s="139" t="s">
        <v>2771</v>
      </c>
    </row>
    <row r="107" spans="27:28" hidden="1">
      <c r="AA107" s="139" t="s">
        <v>2772</v>
      </c>
      <c r="AB107" s="139" t="s">
        <v>2773</v>
      </c>
    </row>
    <row r="108" spans="27:28" hidden="1">
      <c r="AA108" s="139" t="s">
        <v>2774</v>
      </c>
      <c r="AB108" s="139" t="s">
        <v>2775</v>
      </c>
    </row>
    <row r="109" spans="27:28" hidden="1">
      <c r="AA109" s="139" t="s">
        <v>2776</v>
      </c>
      <c r="AB109" s="139" t="s">
        <v>2777</v>
      </c>
    </row>
    <row r="110" spans="27:28" hidden="1">
      <c r="AA110" s="139" t="s">
        <v>2778</v>
      </c>
      <c r="AB110" s="139" t="s">
        <v>2779</v>
      </c>
    </row>
    <row r="111" spans="27:28" hidden="1">
      <c r="AA111" s="139" t="s">
        <v>2780</v>
      </c>
      <c r="AB111" s="139" t="s">
        <v>2781</v>
      </c>
    </row>
    <row r="112" spans="27:28" hidden="1">
      <c r="AA112" s="139" t="s">
        <v>2782</v>
      </c>
      <c r="AB112" s="139" t="s">
        <v>2783</v>
      </c>
    </row>
    <row r="113" spans="27:28" hidden="1">
      <c r="AA113" s="139" t="s">
        <v>2784</v>
      </c>
      <c r="AB113" s="139" t="s">
        <v>2785</v>
      </c>
    </row>
    <row r="114" spans="27:28" hidden="1">
      <c r="AA114" s="139" t="s">
        <v>2786</v>
      </c>
      <c r="AB114" s="139" t="s">
        <v>2787</v>
      </c>
    </row>
    <row r="115" spans="27:28" hidden="1">
      <c r="AA115" s="139" t="s">
        <v>2788</v>
      </c>
      <c r="AB115" s="139" t="s">
        <v>2789</v>
      </c>
    </row>
    <row r="116" spans="27:28" hidden="1">
      <c r="AA116" s="139" t="s">
        <v>2790</v>
      </c>
      <c r="AB116" s="139" t="s">
        <v>2791</v>
      </c>
    </row>
    <row r="117" spans="27:28" hidden="1">
      <c r="AA117" s="139" t="s">
        <v>2792</v>
      </c>
      <c r="AB117" s="139" t="s">
        <v>2793</v>
      </c>
    </row>
    <row r="118" spans="27:28" hidden="1">
      <c r="AA118" s="139" t="s">
        <v>2794</v>
      </c>
      <c r="AB118" s="139" t="s">
        <v>2795</v>
      </c>
    </row>
    <row r="119" spans="27:28" hidden="1">
      <c r="AA119" s="139" t="s">
        <v>2796</v>
      </c>
      <c r="AB119" s="139" t="s">
        <v>2797</v>
      </c>
    </row>
    <row r="120" spans="27:28" hidden="1">
      <c r="AA120" s="139" t="s">
        <v>2798</v>
      </c>
      <c r="AB120" s="139" t="s">
        <v>2799</v>
      </c>
    </row>
    <row r="121" spans="27:28" hidden="1">
      <c r="AA121" s="139" t="s">
        <v>2800</v>
      </c>
      <c r="AB121" s="139" t="s">
        <v>2801</v>
      </c>
    </row>
    <row r="122" spans="27:28" hidden="1">
      <c r="AA122" s="139" t="s">
        <v>2802</v>
      </c>
      <c r="AB122" s="139" t="s">
        <v>2803</v>
      </c>
    </row>
    <row r="123" spans="27:28" hidden="1">
      <c r="AA123" s="139" t="s">
        <v>2804</v>
      </c>
      <c r="AB123" s="139" t="s">
        <v>2805</v>
      </c>
    </row>
    <row r="124" spans="27:28" hidden="1">
      <c r="AA124" s="139" t="s">
        <v>2806</v>
      </c>
      <c r="AB124" s="139" t="s">
        <v>2807</v>
      </c>
    </row>
    <row r="125" spans="27:28" hidden="1">
      <c r="AA125" s="139" t="s">
        <v>2808</v>
      </c>
      <c r="AB125" s="139" t="s">
        <v>2809</v>
      </c>
    </row>
    <row r="126" spans="27:28" hidden="1">
      <c r="AA126" s="139" t="s">
        <v>2810</v>
      </c>
      <c r="AB126" s="139" t="s">
        <v>2811</v>
      </c>
    </row>
    <row r="127" spans="27:28" hidden="1">
      <c r="AA127" s="139" t="s">
        <v>2812</v>
      </c>
      <c r="AB127" s="139" t="s">
        <v>2813</v>
      </c>
    </row>
    <row r="128" spans="27:28" hidden="1">
      <c r="AA128" s="139" t="s">
        <v>2814</v>
      </c>
      <c r="AB128" s="139" t="s">
        <v>2815</v>
      </c>
    </row>
    <row r="129" spans="27:28" hidden="1">
      <c r="AA129" s="139" t="s">
        <v>2816</v>
      </c>
      <c r="AB129" s="139" t="s">
        <v>2817</v>
      </c>
    </row>
    <row r="130" spans="27:28" hidden="1">
      <c r="AA130" s="139" t="s">
        <v>2818</v>
      </c>
      <c r="AB130" s="139" t="s">
        <v>2819</v>
      </c>
    </row>
    <row r="131" spans="27:28" hidden="1">
      <c r="AA131" s="139" t="s">
        <v>2820</v>
      </c>
      <c r="AB131" s="139" t="s">
        <v>2821</v>
      </c>
    </row>
    <row r="132" spans="27:28" hidden="1">
      <c r="AA132" s="139" t="s">
        <v>2822</v>
      </c>
      <c r="AB132" s="139" t="s">
        <v>2823</v>
      </c>
    </row>
    <row r="133" spans="27:28" hidden="1">
      <c r="AA133" s="139" t="s">
        <v>2824</v>
      </c>
      <c r="AB133" s="139" t="s">
        <v>2825</v>
      </c>
    </row>
    <row r="134" spans="27:28" hidden="1">
      <c r="AA134" s="139" t="s">
        <v>2826</v>
      </c>
      <c r="AB134" s="139" t="s">
        <v>2827</v>
      </c>
    </row>
    <row r="135" spans="27:28" hidden="1">
      <c r="AA135" s="139" t="s">
        <v>2828</v>
      </c>
      <c r="AB135" s="139" t="s">
        <v>2829</v>
      </c>
    </row>
    <row r="136" spans="27:28" hidden="1">
      <c r="AA136" s="139" t="s">
        <v>2830</v>
      </c>
      <c r="AB136" s="139" t="s">
        <v>2831</v>
      </c>
    </row>
    <row r="137" spans="27:28" hidden="1">
      <c r="AA137" s="139" t="s">
        <v>2832</v>
      </c>
      <c r="AB137" s="139" t="s">
        <v>2833</v>
      </c>
    </row>
    <row r="138" spans="27:28" hidden="1">
      <c r="AA138" s="139" t="s">
        <v>2834</v>
      </c>
      <c r="AB138" s="139" t="s">
        <v>2835</v>
      </c>
    </row>
    <row r="139" spans="27:28" hidden="1">
      <c r="AA139" s="139" t="s">
        <v>2836</v>
      </c>
      <c r="AB139" s="139" t="s">
        <v>2837</v>
      </c>
    </row>
    <row r="140" spans="27:28" hidden="1">
      <c r="AA140" s="139" t="s">
        <v>2838</v>
      </c>
      <c r="AB140" s="139" t="s">
        <v>2839</v>
      </c>
    </row>
    <row r="141" spans="27:28" hidden="1">
      <c r="AA141" s="139" t="s">
        <v>2840</v>
      </c>
      <c r="AB141" s="139" t="s">
        <v>2841</v>
      </c>
    </row>
    <row r="142" spans="27:28" hidden="1">
      <c r="AA142" s="139" t="s">
        <v>2842</v>
      </c>
      <c r="AB142" s="139" t="s">
        <v>2843</v>
      </c>
    </row>
    <row r="143" spans="27:28" hidden="1">
      <c r="AA143" s="139" t="s">
        <v>2844</v>
      </c>
      <c r="AB143" s="139" t="s">
        <v>2845</v>
      </c>
    </row>
    <row r="144" spans="27:28" hidden="1">
      <c r="AA144" s="139" t="s">
        <v>2846</v>
      </c>
      <c r="AB144" s="139" t="s">
        <v>2847</v>
      </c>
    </row>
    <row r="145" spans="27:28" hidden="1">
      <c r="AA145" s="139" t="s">
        <v>2848</v>
      </c>
      <c r="AB145" s="139" t="s">
        <v>2849</v>
      </c>
    </row>
    <row r="146" spans="27:28" hidden="1">
      <c r="AA146" s="139" t="s">
        <v>2850</v>
      </c>
      <c r="AB146" s="139" t="s">
        <v>2851</v>
      </c>
    </row>
    <row r="147" spans="27:28" hidden="1">
      <c r="AA147" s="139" t="s">
        <v>2852</v>
      </c>
      <c r="AB147" s="139" t="s">
        <v>2853</v>
      </c>
    </row>
    <row r="148" spans="27:28" hidden="1">
      <c r="AA148" s="139" t="s">
        <v>2854</v>
      </c>
      <c r="AB148" s="139" t="s">
        <v>2855</v>
      </c>
    </row>
    <row r="149" spans="27:28" hidden="1">
      <c r="AA149" s="139" t="s">
        <v>2856</v>
      </c>
      <c r="AB149" s="139" t="s">
        <v>2857</v>
      </c>
    </row>
    <row r="150" spans="27:28" hidden="1">
      <c r="AA150" s="139" t="s">
        <v>2858</v>
      </c>
      <c r="AB150" s="139" t="s">
        <v>2859</v>
      </c>
    </row>
    <row r="151" spans="27:28" hidden="1">
      <c r="AA151" s="139" t="s">
        <v>2860</v>
      </c>
      <c r="AB151" s="139" t="s">
        <v>2861</v>
      </c>
    </row>
    <row r="152" spans="27:28" hidden="1">
      <c r="AA152" s="139" t="s">
        <v>2862</v>
      </c>
      <c r="AB152" s="139" t="s">
        <v>2863</v>
      </c>
    </row>
    <row r="153" spans="27:28" hidden="1">
      <c r="AA153" s="139" t="s">
        <v>2864</v>
      </c>
      <c r="AB153" s="139" t="s">
        <v>2865</v>
      </c>
    </row>
    <row r="154" spans="27:28" hidden="1">
      <c r="AA154" s="139" t="s">
        <v>2866</v>
      </c>
      <c r="AB154" s="139" t="s">
        <v>2867</v>
      </c>
    </row>
    <row r="155" spans="27:28" hidden="1">
      <c r="AA155" s="139" t="s">
        <v>2868</v>
      </c>
      <c r="AB155" s="139" t="s">
        <v>2869</v>
      </c>
    </row>
    <row r="156" spans="27:28" hidden="1">
      <c r="AA156" s="139" t="s">
        <v>2870</v>
      </c>
      <c r="AB156" s="139" t="s">
        <v>2871</v>
      </c>
    </row>
    <row r="157" spans="27:28" hidden="1">
      <c r="AA157" s="139" t="s">
        <v>2872</v>
      </c>
      <c r="AB157" s="139" t="s">
        <v>2873</v>
      </c>
    </row>
    <row r="158" spans="27:28" hidden="1">
      <c r="AA158" s="139" t="s">
        <v>2874</v>
      </c>
      <c r="AB158" s="139" t="s">
        <v>2875</v>
      </c>
    </row>
    <row r="159" spans="27:28" hidden="1">
      <c r="AA159" s="139" t="s">
        <v>2876</v>
      </c>
      <c r="AB159" s="139" t="s">
        <v>2877</v>
      </c>
    </row>
    <row r="160" spans="27:28" hidden="1">
      <c r="AA160" s="139" t="s">
        <v>2878</v>
      </c>
      <c r="AB160" s="139" t="s">
        <v>2879</v>
      </c>
    </row>
    <row r="161" spans="27:28" hidden="1">
      <c r="AA161" s="139" t="s">
        <v>2880</v>
      </c>
      <c r="AB161" s="139" t="s">
        <v>2881</v>
      </c>
    </row>
    <row r="162" spans="27:28" hidden="1">
      <c r="AA162" s="139" t="s">
        <v>2882</v>
      </c>
      <c r="AB162" s="139" t="s">
        <v>2883</v>
      </c>
    </row>
    <row r="163" spans="27:28" hidden="1">
      <c r="AA163" s="139" t="s">
        <v>2884</v>
      </c>
      <c r="AB163" s="139" t="s">
        <v>2885</v>
      </c>
    </row>
    <row r="164" spans="27:28" hidden="1">
      <c r="AA164" s="139" t="s">
        <v>2886</v>
      </c>
      <c r="AB164" s="139" t="s">
        <v>2887</v>
      </c>
    </row>
    <row r="165" spans="27:28" hidden="1">
      <c r="AA165" s="139" t="s">
        <v>2888</v>
      </c>
      <c r="AB165" s="139" t="s">
        <v>2889</v>
      </c>
    </row>
    <row r="166" spans="27:28" hidden="1">
      <c r="AA166" s="139" t="s">
        <v>2890</v>
      </c>
      <c r="AB166" s="139" t="s">
        <v>2891</v>
      </c>
    </row>
    <row r="167" spans="27:28" hidden="1">
      <c r="AA167" s="139" t="s">
        <v>2892</v>
      </c>
      <c r="AB167" s="139" t="s">
        <v>2893</v>
      </c>
    </row>
    <row r="168" spans="27:28" hidden="1">
      <c r="AA168" s="139" t="s">
        <v>2894</v>
      </c>
      <c r="AB168" s="139" t="s">
        <v>2895</v>
      </c>
    </row>
    <row r="169" spans="27:28" hidden="1">
      <c r="AA169" s="139" t="s">
        <v>2896</v>
      </c>
      <c r="AB169" s="139" t="s">
        <v>2897</v>
      </c>
    </row>
    <row r="170" spans="27:28" hidden="1">
      <c r="AA170" s="139" t="s">
        <v>2898</v>
      </c>
      <c r="AB170" s="139" t="s">
        <v>2899</v>
      </c>
    </row>
    <row r="171" spans="27:28" hidden="1">
      <c r="AA171" s="139" t="s">
        <v>2900</v>
      </c>
      <c r="AB171" s="139" t="s">
        <v>2901</v>
      </c>
    </row>
    <row r="172" spans="27:28" hidden="1">
      <c r="AA172" s="139" t="s">
        <v>2902</v>
      </c>
      <c r="AB172" s="139" t="s">
        <v>2903</v>
      </c>
    </row>
    <row r="173" spans="27:28" hidden="1">
      <c r="AA173" s="139" t="s">
        <v>2904</v>
      </c>
      <c r="AB173" s="139" t="s">
        <v>2905</v>
      </c>
    </row>
    <row r="174" spans="27:28" hidden="1">
      <c r="AA174" s="139" t="s">
        <v>2906</v>
      </c>
      <c r="AB174" s="139" t="s">
        <v>2907</v>
      </c>
    </row>
    <row r="175" spans="27:28" hidden="1">
      <c r="AA175" s="139" t="s">
        <v>2908</v>
      </c>
      <c r="AB175" s="139" t="s">
        <v>2909</v>
      </c>
    </row>
    <row r="176" spans="27:28" hidden="1">
      <c r="AA176" s="139" t="s">
        <v>2910</v>
      </c>
      <c r="AB176" s="139" t="s">
        <v>2911</v>
      </c>
    </row>
    <row r="177" spans="27:28" hidden="1">
      <c r="AA177" s="139" t="s">
        <v>2912</v>
      </c>
      <c r="AB177" s="139" t="s">
        <v>2913</v>
      </c>
    </row>
    <row r="178" spans="27:28" hidden="1">
      <c r="AA178" s="139" t="s">
        <v>2914</v>
      </c>
      <c r="AB178" s="139" t="s">
        <v>2915</v>
      </c>
    </row>
    <row r="179" spans="27:28" hidden="1">
      <c r="AA179" s="139" t="s">
        <v>2916</v>
      </c>
      <c r="AB179" s="139" t="s">
        <v>2917</v>
      </c>
    </row>
    <row r="180" spans="27:28" hidden="1">
      <c r="AA180" s="139" t="s">
        <v>2918</v>
      </c>
      <c r="AB180" s="139" t="s">
        <v>2919</v>
      </c>
    </row>
    <row r="181" spans="27:28" hidden="1">
      <c r="AA181" s="139" t="s">
        <v>2920</v>
      </c>
      <c r="AB181" s="139" t="s">
        <v>2921</v>
      </c>
    </row>
    <row r="182" spans="27:28" hidden="1">
      <c r="AA182" s="139" t="s">
        <v>2922</v>
      </c>
      <c r="AB182" s="139" t="s">
        <v>2923</v>
      </c>
    </row>
    <row r="183" spans="27:28" hidden="1">
      <c r="AA183" s="139" t="s">
        <v>2924</v>
      </c>
      <c r="AB183" s="139" t="s">
        <v>2925</v>
      </c>
    </row>
    <row r="184" spans="27:28" hidden="1">
      <c r="AA184" s="139" t="s">
        <v>2926</v>
      </c>
      <c r="AB184" s="139" t="s">
        <v>2927</v>
      </c>
    </row>
    <row r="185" spans="27:28" hidden="1">
      <c r="AA185" s="139" t="s">
        <v>2928</v>
      </c>
      <c r="AB185" s="139" t="s">
        <v>2929</v>
      </c>
    </row>
    <row r="186" spans="27:28" hidden="1">
      <c r="AA186" s="139" t="s">
        <v>2930</v>
      </c>
      <c r="AB186" s="139" t="s">
        <v>2931</v>
      </c>
    </row>
    <row r="187" spans="27:28" hidden="1">
      <c r="AA187" s="139" t="s">
        <v>2932</v>
      </c>
      <c r="AB187" s="139" t="s">
        <v>2933</v>
      </c>
    </row>
    <row r="188" spans="27:28" hidden="1">
      <c r="AA188" s="139" t="s">
        <v>2934</v>
      </c>
      <c r="AB188" s="139" t="s">
        <v>2935</v>
      </c>
    </row>
    <row r="189" spans="27:28" hidden="1">
      <c r="AA189" s="139" t="s">
        <v>2936</v>
      </c>
      <c r="AB189" s="139" t="s">
        <v>2937</v>
      </c>
    </row>
    <row r="190" spans="27:28" hidden="1">
      <c r="AA190" s="139" t="s">
        <v>2938</v>
      </c>
      <c r="AB190" s="139" t="s">
        <v>2939</v>
      </c>
    </row>
    <row r="191" spans="27:28" hidden="1">
      <c r="AA191" s="139" t="s">
        <v>2940</v>
      </c>
      <c r="AB191" s="139" t="s">
        <v>2941</v>
      </c>
    </row>
    <row r="192" spans="27:28" hidden="1">
      <c r="AA192" s="139" t="s">
        <v>2942</v>
      </c>
      <c r="AB192" s="139" t="s">
        <v>2943</v>
      </c>
    </row>
    <row r="193" spans="27:28" hidden="1">
      <c r="AA193" s="139" t="s">
        <v>2944</v>
      </c>
      <c r="AB193" s="139" t="s">
        <v>2945</v>
      </c>
    </row>
    <row r="194" spans="27:28" hidden="1">
      <c r="AA194" s="139" t="s">
        <v>2946</v>
      </c>
      <c r="AB194" s="139" t="s">
        <v>2947</v>
      </c>
    </row>
    <row r="195" spans="27:28" hidden="1">
      <c r="AA195" s="139" t="s">
        <v>2948</v>
      </c>
      <c r="AB195" s="139" t="s">
        <v>2949</v>
      </c>
    </row>
    <row r="196" spans="27:28" hidden="1">
      <c r="AA196" s="139" t="s">
        <v>2950</v>
      </c>
      <c r="AB196" s="139" t="s">
        <v>2951</v>
      </c>
    </row>
    <row r="197" spans="27:28" hidden="1">
      <c r="AA197" s="139" t="s">
        <v>2952</v>
      </c>
      <c r="AB197" s="139" t="s">
        <v>2953</v>
      </c>
    </row>
    <row r="198" spans="27:28" hidden="1">
      <c r="AA198" s="139" t="s">
        <v>2954</v>
      </c>
      <c r="AB198" s="139" t="s">
        <v>2955</v>
      </c>
    </row>
    <row r="199" spans="27:28" hidden="1">
      <c r="AA199" s="139" t="s">
        <v>2956</v>
      </c>
      <c r="AB199" s="139" t="s">
        <v>2957</v>
      </c>
    </row>
    <row r="200" spans="27:28" hidden="1">
      <c r="AA200" s="139" t="s">
        <v>2958</v>
      </c>
      <c r="AB200" s="139" t="s">
        <v>2959</v>
      </c>
    </row>
    <row r="201" spans="27:28" hidden="1">
      <c r="AA201" s="139" t="s">
        <v>2960</v>
      </c>
      <c r="AB201" s="139" t="s">
        <v>2961</v>
      </c>
    </row>
    <row r="202" spans="27:28" hidden="1">
      <c r="AA202" s="139" t="s">
        <v>2962</v>
      </c>
      <c r="AB202" s="139" t="s">
        <v>2963</v>
      </c>
    </row>
    <row r="203" spans="27:28" hidden="1">
      <c r="AA203" s="139" t="s">
        <v>2964</v>
      </c>
      <c r="AB203" s="139" t="s">
        <v>2965</v>
      </c>
    </row>
    <row r="204" spans="27:28" hidden="1">
      <c r="AA204" s="139" t="s">
        <v>2966</v>
      </c>
      <c r="AB204" s="139" t="s">
        <v>2967</v>
      </c>
    </row>
    <row r="205" spans="27:28" hidden="1">
      <c r="AA205" s="139" t="s">
        <v>2968</v>
      </c>
      <c r="AB205" s="139" t="s">
        <v>2969</v>
      </c>
    </row>
    <row r="206" spans="27:28" hidden="1">
      <c r="AA206" s="139" t="s">
        <v>2970</v>
      </c>
      <c r="AB206" s="139" t="s">
        <v>2971</v>
      </c>
    </row>
    <row r="207" spans="27:28" hidden="1">
      <c r="AA207" s="139" t="s">
        <v>2972</v>
      </c>
      <c r="AB207" s="139" t="s">
        <v>2973</v>
      </c>
    </row>
    <row r="208" spans="27:28" hidden="1">
      <c r="AA208" s="139" t="s">
        <v>2974</v>
      </c>
      <c r="AB208" s="139" t="s">
        <v>2975</v>
      </c>
    </row>
    <row r="209" spans="27:28" hidden="1">
      <c r="AA209" s="139" t="s">
        <v>2976</v>
      </c>
      <c r="AB209" s="139" t="s">
        <v>2977</v>
      </c>
    </row>
    <row r="210" spans="27:28" hidden="1">
      <c r="AA210" s="139" t="s">
        <v>2978</v>
      </c>
      <c r="AB210" s="139" t="s">
        <v>2979</v>
      </c>
    </row>
    <row r="211" spans="27:28" hidden="1">
      <c r="AA211" s="139" t="s">
        <v>2980</v>
      </c>
      <c r="AB211" s="139" t="s">
        <v>2981</v>
      </c>
    </row>
    <row r="212" spans="27:28" hidden="1">
      <c r="AA212" s="139" t="s">
        <v>2982</v>
      </c>
      <c r="AB212" s="139" t="s">
        <v>2983</v>
      </c>
    </row>
    <row r="213" spans="27:28" hidden="1">
      <c r="AA213" s="139" t="s">
        <v>2984</v>
      </c>
      <c r="AB213" s="139" t="s">
        <v>2985</v>
      </c>
    </row>
    <row r="214" spans="27:28" hidden="1">
      <c r="AA214" s="139" t="s">
        <v>2986</v>
      </c>
      <c r="AB214" s="139" t="s">
        <v>2987</v>
      </c>
    </row>
    <row r="215" spans="27:28" hidden="1">
      <c r="AA215" s="139" t="s">
        <v>2988</v>
      </c>
      <c r="AB215" s="139" t="s">
        <v>2989</v>
      </c>
    </row>
    <row r="216" spans="27:28" hidden="1">
      <c r="AA216" s="139" t="s">
        <v>2990</v>
      </c>
      <c r="AB216" s="139" t="s">
        <v>2991</v>
      </c>
    </row>
    <row r="217" spans="27:28" hidden="1">
      <c r="AA217" s="139" t="s">
        <v>2992</v>
      </c>
      <c r="AB217" s="139" t="s">
        <v>2993</v>
      </c>
    </row>
    <row r="218" spans="27:28" hidden="1">
      <c r="AA218" s="139" t="s">
        <v>2994</v>
      </c>
      <c r="AB218" s="139" t="s">
        <v>2995</v>
      </c>
    </row>
    <row r="219" spans="27:28" hidden="1">
      <c r="AA219" s="139" t="s">
        <v>2996</v>
      </c>
      <c r="AB219" s="139" t="s">
        <v>2997</v>
      </c>
    </row>
    <row r="220" spans="27:28" hidden="1">
      <c r="AA220" s="139" t="s">
        <v>2998</v>
      </c>
      <c r="AB220" s="139" t="s">
        <v>2999</v>
      </c>
    </row>
    <row r="221" spans="27:28" hidden="1">
      <c r="AA221" s="139" t="s">
        <v>3000</v>
      </c>
      <c r="AB221" s="139" t="s">
        <v>3001</v>
      </c>
    </row>
    <row r="222" spans="27:28" hidden="1">
      <c r="AA222" s="139" t="s">
        <v>3002</v>
      </c>
      <c r="AB222" s="139" t="s">
        <v>3003</v>
      </c>
    </row>
    <row r="223" spans="27:28" hidden="1">
      <c r="AA223" s="139" t="s">
        <v>3004</v>
      </c>
      <c r="AB223" s="139" t="s">
        <v>3005</v>
      </c>
    </row>
    <row r="224" spans="27:28" hidden="1">
      <c r="AA224" s="139" t="s">
        <v>3006</v>
      </c>
      <c r="AB224" s="139" t="s">
        <v>3007</v>
      </c>
    </row>
    <row r="225" spans="27:28" hidden="1">
      <c r="AA225" s="139" t="s">
        <v>3008</v>
      </c>
      <c r="AB225" s="139" t="s">
        <v>3009</v>
      </c>
    </row>
    <row r="226" spans="27:28" hidden="1">
      <c r="AA226" s="139" t="s">
        <v>3010</v>
      </c>
      <c r="AB226" s="139" t="s">
        <v>3011</v>
      </c>
    </row>
    <row r="227" spans="27:28" hidden="1">
      <c r="AA227" s="139" t="s">
        <v>3012</v>
      </c>
      <c r="AB227" s="139" t="s">
        <v>3013</v>
      </c>
    </row>
    <row r="228" spans="27:28" hidden="1">
      <c r="AA228" s="139" t="s">
        <v>3014</v>
      </c>
      <c r="AB228" s="139" t="s">
        <v>3015</v>
      </c>
    </row>
    <row r="229" spans="27:28" hidden="1">
      <c r="AA229" s="139" t="s">
        <v>3016</v>
      </c>
      <c r="AB229" s="139" t="s">
        <v>3017</v>
      </c>
    </row>
    <row r="230" spans="27:28" hidden="1">
      <c r="AA230" s="139" t="s">
        <v>3018</v>
      </c>
      <c r="AB230" s="139" t="s">
        <v>3019</v>
      </c>
    </row>
    <row r="231" spans="27:28" hidden="1">
      <c r="AA231" s="139" t="s">
        <v>3020</v>
      </c>
      <c r="AB231" s="139" t="s">
        <v>3021</v>
      </c>
    </row>
    <row r="232" spans="27:28" hidden="1">
      <c r="AA232" s="139" t="s">
        <v>3022</v>
      </c>
      <c r="AB232" s="139" t="s">
        <v>3023</v>
      </c>
    </row>
    <row r="233" spans="27:28" hidden="1">
      <c r="AA233" s="139" t="s">
        <v>3024</v>
      </c>
      <c r="AB233" s="139" t="s">
        <v>3025</v>
      </c>
    </row>
    <row r="234" spans="27:28" hidden="1">
      <c r="AA234" s="139" t="s">
        <v>3026</v>
      </c>
      <c r="AB234" s="139" t="s">
        <v>3027</v>
      </c>
    </row>
    <row r="235" spans="27:28" hidden="1">
      <c r="AA235" s="139" t="s">
        <v>3028</v>
      </c>
      <c r="AB235" s="139" t="s">
        <v>3029</v>
      </c>
    </row>
    <row r="236" spans="27:28" hidden="1">
      <c r="AA236" s="139" t="s">
        <v>3030</v>
      </c>
      <c r="AB236" s="139" t="s">
        <v>3031</v>
      </c>
    </row>
    <row r="237" spans="27:28" hidden="1">
      <c r="AA237" s="139" t="s">
        <v>3032</v>
      </c>
      <c r="AB237" s="139" t="s">
        <v>3033</v>
      </c>
    </row>
    <row r="238" spans="27:28" hidden="1">
      <c r="AA238" s="139" t="s">
        <v>3034</v>
      </c>
      <c r="AB238" s="139" t="s">
        <v>3035</v>
      </c>
    </row>
    <row r="239" spans="27:28" hidden="1">
      <c r="AA239" s="139" t="s">
        <v>3036</v>
      </c>
      <c r="AB239" s="139" t="s">
        <v>3037</v>
      </c>
    </row>
    <row r="240" spans="27:28" hidden="1">
      <c r="AA240" s="139" t="s">
        <v>3038</v>
      </c>
      <c r="AB240" s="139" t="s">
        <v>3039</v>
      </c>
    </row>
    <row r="241" spans="27:28" hidden="1">
      <c r="AA241" s="139" t="s">
        <v>3040</v>
      </c>
      <c r="AB241" s="139" t="s">
        <v>3041</v>
      </c>
    </row>
    <row r="242" spans="27:28" hidden="1">
      <c r="AA242" s="139" t="s">
        <v>3042</v>
      </c>
      <c r="AB242" s="139" t="s">
        <v>3043</v>
      </c>
    </row>
    <row r="243" spans="27:28" hidden="1">
      <c r="AA243" s="139" t="s">
        <v>3044</v>
      </c>
      <c r="AB243" s="139" t="s">
        <v>3045</v>
      </c>
    </row>
    <row r="244" spans="27:28" hidden="1">
      <c r="AA244" s="139" t="s">
        <v>3046</v>
      </c>
      <c r="AB244" s="139" t="s">
        <v>3047</v>
      </c>
    </row>
    <row r="245" spans="27:28" hidden="1">
      <c r="AA245" s="139" t="s">
        <v>3048</v>
      </c>
      <c r="AB245" s="139" t="s">
        <v>3049</v>
      </c>
    </row>
    <row r="246" spans="27:28" hidden="1">
      <c r="AA246" s="139" t="s">
        <v>3050</v>
      </c>
      <c r="AB246" s="139" t="s">
        <v>3051</v>
      </c>
    </row>
    <row r="247" spans="27:28" hidden="1">
      <c r="AA247" s="139" t="s">
        <v>3052</v>
      </c>
      <c r="AB247" s="139" t="s">
        <v>3053</v>
      </c>
    </row>
    <row r="248" spans="27:28" hidden="1">
      <c r="AA248" s="139" t="s">
        <v>3054</v>
      </c>
      <c r="AB248" s="139" t="s">
        <v>3055</v>
      </c>
    </row>
    <row r="249" spans="27:28" hidden="1">
      <c r="AA249" s="139" t="s">
        <v>3056</v>
      </c>
      <c r="AB249" s="139" t="s">
        <v>3057</v>
      </c>
    </row>
    <row r="250" spans="27:28" hidden="1">
      <c r="AA250" s="139" t="s">
        <v>3058</v>
      </c>
      <c r="AB250" s="139" t="s">
        <v>3059</v>
      </c>
    </row>
    <row r="251" spans="27:28" hidden="1">
      <c r="AA251" s="139" t="s">
        <v>3060</v>
      </c>
      <c r="AB251" s="139" t="s">
        <v>3061</v>
      </c>
    </row>
    <row r="252" spans="27:28" hidden="1">
      <c r="AA252" s="139" t="s">
        <v>3062</v>
      </c>
      <c r="AB252" s="139" t="s">
        <v>3063</v>
      </c>
    </row>
    <row r="253" spans="27:28" hidden="1">
      <c r="AA253" s="139" t="s">
        <v>3064</v>
      </c>
      <c r="AB253" s="139" t="s">
        <v>3065</v>
      </c>
    </row>
    <row r="254" spans="27:28" hidden="1">
      <c r="AA254" s="139" t="s">
        <v>3066</v>
      </c>
      <c r="AB254" s="139" t="s">
        <v>3067</v>
      </c>
    </row>
    <row r="255" spans="27:28" hidden="1">
      <c r="AA255" s="139" t="s">
        <v>3068</v>
      </c>
      <c r="AB255" s="139" t="s">
        <v>3069</v>
      </c>
    </row>
    <row r="256" spans="27:28" hidden="1">
      <c r="AA256" s="139" t="s">
        <v>3070</v>
      </c>
      <c r="AB256" s="139" t="s">
        <v>3071</v>
      </c>
    </row>
    <row r="257" spans="27:28" hidden="1">
      <c r="AA257" s="139" t="s">
        <v>3072</v>
      </c>
      <c r="AB257" s="139" t="s">
        <v>3073</v>
      </c>
    </row>
    <row r="258" spans="27:28" hidden="1">
      <c r="AA258" s="139" t="s">
        <v>3074</v>
      </c>
      <c r="AB258" s="139" t="s">
        <v>3075</v>
      </c>
    </row>
    <row r="259" spans="27:28" hidden="1">
      <c r="AA259" s="139" t="s">
        <v>3076</v>
      </c>
      <c r="AB259" s="139" t="s">
        <v>3077</v>
      </c>
    </row>
    <row r="260" spans="27:28" hidden="1">
      <c r="AA260" s="139" t="s">
        <v>3078</v>
      </c>
      <c r="AB260" s="139" t="s">
        <v>3079</v>
      </c>
    </row>
    <row r="261" spans="27:28" hidden="1">
      <c r="AA261" s="139" t="s">
        <v>3080</v>
      </c>
      <c r="AB261" s="139" t="s">
        <v>3081</v>
      </c>
    </row>
    <row r="262" spans="27:28" hidden="1">
      <c r="AA262" s="139" t="s">
        <v>3082</v>
      </c>
      <c r="AB262" s="139" t="s">
        <v>3083</v>
      </c>
    </row>
    <row r="263" spans="27:28" hidden="1">
      <c r="AA263" s="139" t="s">
        <v>3084</v>
      </c>
      <c r="AB263" s="139" t="s">
        <v>3085</v>
      </c>
    </row>
    <row r="264" spans="27:28" hidden="1">
      <c r="AA264" s="139" t="s">
        <v>3086</v>
      </c>
      <c r="AB264" s="139" t="s">
        <v>3087</v>
      </c>
    </row>
    <row r="265" spans="27:28" hidden="1">
      <c r="AA265" s="139" t="s">
        <v>3088</v>
      </c>
      <c r="AB265" s="139" t="s">
        <v>3089</v>
      </c>
    </row>
    <row r="266" spans="27:28" hidden="1">
      <c r="AA266" s="139" t="s">
        <v>3090</v>
      </c>
      <c r="AB266" s="139" t="s">
        <v>3091</v>
      </c>
    </row>
    <row r="267" spans="27:28" hidden="1">
      <c r="AA267" s="139" t="s">
        <v>3092</v>
      </c>
      <c r="AB267" s="139" t="s">
        <v>3093</v>
      </c>
    </row>
    <row r="268" spans="27:28" hidden="1">
      <c r="AA268" s="139" t="s">
        <v>3094</v>
      </c>
      <c r="AB268" s="139" t="s">
        <v>3095</v>
      </c>
    </row>
    <row r="269" spans="27:28" hidden="1">
      <c r="AA269" s="139" t="s">
        <v>3096</v>
      </c>
      <c r="AB269" s="139" t="s">
        <v>3097</v>
      </c>
    </row>
    <row r="270" spans="27:28" hidden="1">
      <c r="AA270" s="139" t="s">
        <v>3098</v>
      </c>
      <c r="AB270" s="139" t="s">
        <v>3099</v>
      </c>
    </row>
    <row r="271" spans="27:28" hidden="1">
      <c r="AA271" s="139" t="s">
        <v>3100</v>
      </c>
      <c r="AB271" s="139" t="s">
        <v>3101</v>
      </c>
    </row>
    <row r="272" spans="27:28" hidden="1">
      <c r="AA272" s="139" t="s">
        <v>3102</v>
      </c>
      <c r="AB272" s="139" t="s">
        <v>3103</v>
      </c>
    </row>
    <row r="273" spans="27:28" hidden="1">
      <c r="AA273" s="139" t="s">
        <v>3104</v>
      </c>
      <c r="AB273" s="139" t="s">
        <v>3105</v>
      </c>
    </row>
    <row r="274" spans="27:28" hidden="1">
      <c r="AA274" s="139" t="s">
        <v>3106</v>
      </c>
      <c r="AB274" s="139" t="s">
        <v>3107</v>
      </c>
    </row>
    <row r="275" spans="27:28" hidden="1">
      <c r="AA275" s="139" t="s">
        <v>3108</v>
      </c>
      <c r="AB275" s="139" t="s">
        <v>3109</v>
      </c>
    </row>
    <row r="276" spans="27:28" hidden="1">
      <c r="AA276" s="139" t="s">
        <v>3110</v>
      </c>
      <c r="AB276" s="139" t="s">
        <v>3111</v>
      </c>
    </row>
    <row r="277" spans="27:28" hidden="1">
      <c r="AA277" s="139" t="s">
        <v>3112</v>
      </c>
      <c r="AB277" s="139" t="s">
        <v>3113</v>
      </c>
    </row>
    <row r="278" spans="27:28" hidden="1">
      <c r="AA278" s="139" t="s">
        <v>3114</v>
      </c>
      <c r="AB278" s="139" t="s">
        <v>3115</v>
      </c>
    </row>
    <row r="279" spans="27:28" hidden="1">
      <c r="AA279" s="139" t="s">
        <v>3116</v>
      </c>
      <c r="AB279" s="139" t="s">
        <v>3117</v>
      </c>
    </row>
    <row r="280" spans="27:28" hidden="1">
      <c r="AA280" s="139" t="s">
        <v>3118</v>
      </c>
      <c r="AB280" s="139" t="s">
        <v>3119</v>
      </c>
    </row>
    <row r="281" spans="27:28" hidden="1">
      <c r="AA281" s="139" t="s">
        <v>3120</v>
      </c>
      <c r="AB281" s="139" t="s">
        <v>3121</v>
      </c>
    </row>
    <row r="282" spans="27:28" hidden="1">
      <c r="AA282" s="139" t="s">
        <v>3122</v>
      </c>
      <c r="AB282" s="139" t="s">
        <v>3123</v>
      </c>
    </row>
    <row r="283" spans="27:28" hidden="1">
      <c r="AA283" s="139" t="s">
        <v>3124</v>
      </c>
      <c r="AB283" s="139" t="s">
        <v>3125</v>
      </c>
    </row>
    <row r="284" spans="27:28" hidden="1">
      <c r="AA284" s="139" t="s">
        <v>3126</v>
      </c>
      <c r="AB284" s="139" t="s">
        <v>3127</v>
      </c>
    </row>
    <row r="285" spans="27:28" hidden="1">
      <c r="AA285" s="139" t="s">
        <v>3128</v>
      </c>
      <c r="AB285" s="139" t="s">
        <v>3129</v>
      </c>
    </row>
    <row r="286" spans="27:28" hidden="1">
      <c r="AA286" s="139" t="s">
        <v>3130</v>
      </c>
      <c r="AB286" s="139" t="s">
        <v>3131</v>
      </c>
    </row>
    <row r="287" spans="27:28" hidden="1">
      <c r="AA287" s="139" t="s">
        <v>3132</v>
      </c>
      <c r="AB287" s="139" t="s">
        <v>3133</v>
      </c>
    </row>
    <row r="288" spans="27:28" hidden="1">
      <c r="AA288" s="139" t="s">
        <v>3134</v>
      </c>
      <c r="AB288" s="139" t="s">
        <v>3135</v>
      </c>
    </row>
    <row r="289" spans="27:28" hidden="1">
      <c r="AA289" s="139" t="s">
        <v>3136</v>
      </c>
      <c r="AB289" s="139" t="s">
        <v>3137</v>
      </c>
    </row>
    <row r="290" spans="27:28" hidden="1">
      <c r="AA290" s="139" t="s">
        <v>3138</v>
      </c>
      <c r="AB290" s="139" t="s">
        <v>3139</v>
      </c>
    </row>
    <row r="291" spans="27:28" hidden="1">
      <c r="AA291" s="139" t="s">
        <v>3140</v>
      </c>
      <c r="AB291" s="139" t="s">
        <v>3141</v>
      </c>
    </row>
    <row r="292" spans="27:28" hidden="1">
      <c r="AA292" s="139" t="s">
        <v>3142</v>
      </c>
      <c r="AB292" s="139" t="s">
        <v>3143</v>
      </c>
    </row>
    <row r="293" spans="27:28" hidden="1">
      <c r="AA293" s="139" t="s">
        <v>3144</v>
      </c>
      <c r="AB293" s="139" t="s">
        <v>3145</v>
      </c>
    </row>
    <row r="294" spans="27:28" hidden="1">
      <c r="AA294" s="139" t="s">
        <v>3146</v>
      </c>
      <c r="AB294" s="139" t="s">
        <v>3147</v>
      </c>
    </row>
    <row r="295" spans="27:28" hidden="1">
      <c r="AA295" s="139" t="s">
        <v>3148</v>
      </c>
      <c r="AB295" s="139" t="s">
        <v>3149</v>
      </c>
    </row>
    <row r="296" spans="27:28" hidden="1">
      <c r="AA296" s="139" t="s">
        <v>3150</v>
      </c>
      <c r="AB296" s="139" t="s">
        <v>3151</v>
      </c>
    </row>
    <row r="297" spans="27:28" hidden="1">
      <c r="AA297" s="139" t="s">
        <v>3152</v>
      </c>
      <c r="AB297" s="139" t="s">
        <v>3153</v>
      </c>
    </row>
    <row r="298" spans="27:28" hidden="1">
      <c r="AA298" s="139" t="s">
        <v>3154</v>
      </c>
      <c r="AB298" s="139" t="s">
        <v>3155</v>
      </c>
    </row>
    <row r="299" spans="27:28" hidden="1">
      <c r="AA299" s="139" t="s">
        <v>3156</v>
      </c>
      <c r="AB299" s="139" t="s">
        <v>3157</v>
      </c>
    </row>
    <row r="300" spans="27:28" hidden="1">
      <c r="AA300" s="139" t="s">
        <v>3158</v>
      </c>
      <c r="AB300" s="139" t="s">
        <v>3159</v>
      </c>
    </row>
    <row r="301" spans="27:28" hidden="1">
      <c r="AA301" s="139" t="s">
        <v>3160</v>
      </c>
      <c r="AB301" s="139" t="s">
        <v>3161</v>
      </c>
    </row>
    <row r="302" spans="27:28" hidden="1">
      <c r="AA302" s="139" t="s">
        <v>3162</v>
      </c>
      <c r="AB302" s="139" t="s">
        <v>3163</v>
      </c>
    </row>
    <row r="303" spans="27:28" hidden="1">
      <c r="AA303" s="139" t="s">
        <v>3164</v>
      </c>
      <c r="AB303" s="139" t="s">
        <v>3165</v>
      </c>
    </row>
    <row r="304" spans="27:28" hidden="1">
      <c r="AA304" s="139" t="s">
        <v>3166</v>
      </c>
      <c r="AB304" s="139" t="s">
        <v>3167</v>
      </c>
    </row>
    <row r="305" spans="27:28" hidden="1">
      <c r="AA305" s="139" t="s">
        <v>3168</v>
      </c>
      <c r="AB305" s="139" t="s">
        <v>3169</v>
      </c>
    </row>
    <row r="306" spans="27:28" hidden="1">
      <c r="AA306" s="139" t="s">
        <v>3170</v>
      </c>
      <c r="AB306" s="139" t="s">
        <v>3171</v>
      </c>
    </row>
    <row r="307" spans="27:28" hidden="1">
      <c r="AA307" s="139" t="s">
        <v>3172</v>
      </c>
      <c r="AB307" s="139" t="s">
        <v>3173</v>
      </c>
    </row>
    <row r="308" spans="27:28" hidden="1">
      <c r="AA308" s="139" t="s">
        <v>3174</v>
      </c>
      <c r="AB308" s="139" t="s">
        <v>3175</v>
      </c>
    </row>
    <row r="309" spans="27:28" hidden="1">
      <c r="AA309" s="139" t="s">
        <v>3176</v>
      </c>
      <c r="AB309" s="139" t="s">
        <v>3177</v>
      </c>
    </row>
    <row r="310" spans="27:28" hidden="1">
      <c r="AA310" s="139" t="s">
        <v>3178</v>
      </c>
      <c r="AB310" s="139" t="s">
        <v>3179</v>
      </c>
    </row>
    <row r="311" spans="27:28" hidden="1">
      <c r="AA311" s="139" t="s">
        <v>3180</v>
      </c>
      <c r="AB311" s="139" t="s">
        <v>2551</v>
      </c>
    </row>
    <row r="312" spans="27:28" hidden="1">
      <c r="AA312" s="139" t="s">
        <v>3181</v>
      </c>
      <c r="AB312" s="139" t="s">
        <v>3182</v>
      </c>
    </row>
    <row r="313" spans="27:28" hidden="1">
      <c r="AA313" s="139" t="s">
        <v>3183</v>
      </c>
      <c r="AB313" s="139" t="s">
        <v>3184</v>
      </c>
    </row>
    <row r="314" spans="27:28" hidden="1">
      <c r="AA314" s="139" t="s">
        <v>3185</v>
      </c>
      <c r="AB314" s="139" t="s">
        <v>3186</v>
      </c>
    </row>
    <row r="315" spans="27:28" hidden="1">
      <c r="AA315" s="139" t="s">
        <v>3187</v>
      </c>
      <c r="AB315" s="139" t="s">
        <v>3188</v>
      </c>
    </row>
    <row r="316" spans="27:28" hidden="1">
      <c r="AA316" s="139" t="s">
        <v>3189</v>
      </c>
      <c r="AB316" s="139" t="s">
        <v>3190</v>
      </c>
    </row>
    <row r="317" spans="27:28" hidden="1">
      <c r="AA317" s="139" t="s">
        <v>3191</v>
      </c>
      <c r="AB317" s="139" t="s">
        <v>3192</v>
      </c>
    </row>
    <row r="318" spans="27:28" hidden="1">
      <c r="AA318" s="139" t="s">
        <v>3193</v>
      </c>
      <c r="AB318" s="139" t="s">
        <v>3194</v>
      </c>
    </row>
    <row r="319" spans="27:28" hidden="1">
      <c r="AA319" s="139" t="s">
        <v>3195</v>
      </c>
      <c r="AB319" s="139" t="s">
        <v>3196</v>
      </c>
    </row>
    <row r="320" spans="27:28" hidden="1">
      <c r="AA320" s="139" t="s">
        <v>3197</v>
      </c>
      <c r="AB320" s="139" t="s">
        <v>3198</v>
      </c>
    </row>
    <row r="321" spans="27:28" hidden="1">
      <c r="AA321" s="139" t="s">
        <v>3199</v>
      </c>
      <c r="AB321" s="139" t="s">
        <v>3200</v>
      </c>
    </row>
    <row r="322" spans="27:28" hidden="1">
      <c r="AA322" s="139" t="s">
        <v>3201</v>
      </c>
      <c r="AB322" s="139" t="s">
        <v>3202</v>
      </c>
    </row>
    <row r="323" spans="27:28" hidden="1">
      <c r="AA323" s="139" t="s">
        <v>3203</v>
      </c>
      <c r="AB323" s="139" t="s">
        <v>3204</v>
      </c>
    </row>
    <row r="324" spans="27:28" hidden="1">
      <c r="AA324" s="139" t="s">
        <v>3205</v>
      </c>
      <c r="AB324" s="139" t="s">
        <v>3206</v>
      </c>
    </row>
    <row r="325" spans="27:28" hidden="1">
      <c r="AA325" s="139" t="s">
        <v>3207</v>
      </c>
      <c r="AB325" s="139" t="s">
        <v>3208</v>
      </c>
    </row>
    <row r="326" spans="27:28" hidden="1">
      <c r="AA326" s="139" t="s">
        <v>3209</v>
      </c>
      <c r="AB326" s="139" t="s">
        <v>3210</v>
      </c>
    </row>
    <row r="327" spans="27:28" hidden="1">
      <c r="AA327" s="139" t="s">
        <v>3211</v>
      </c>
      <c r="AB327" s="139" t="s">
        <v>3212</v>
      </c>
    </row>
    <row r="328" spans="27:28" hidden="1">
      <c r="AA328" s="139" t="s">
        <v>3213</v>
      </c>
      <c r="AB328" s="139" t="s">
        <v>3214</v>
      </c>
    </row>
    <row r="329" spans="27:28" hidden="1">
      <c r="AA329" s="139" t="s">
        <v>3215</v>
      </c>
      <c r="AB329" s="139" t="s">
        <v>3216</v>
      </c>
    </row>
    <row r="330" spans="27:28" hidden="1">
      <c r="AA330" s="139" t="s">
        <v>3217</v>
      </c>
      <c r="AB330" s="139" t="s">
        <v>3218</v>
      </c>
    </row>
    <row r="331" spans="27:28" hidden="1">
      <c r="AA331" s="139" t="s">
        <v>3219</v>
      </c>
      <c r="AB331" s="139" t="s">
        <v>3220</v>
      </c>
    </row>
    <row r="332" spans="27:28" hidden="1">
      <c r="AA332" s="139" t="s">
        <v>3221</v>
      </c>
      <c r="AB332" s="139" t="s">
        <v>3222</v>
      </c>
    </row>
    <row r="333" spans="27:28" hidden="1">
      <c r="AA333" s="139" t="s">
        <v>3223</v>
      </c>
      <c r="AB333" s="139" t="s">
        <v>3224</v>
      </c>
    </row>
    <row r="334" spans="27:28" hidden="1">
      <c r="AA334" s="139" t="s">
        <v>3225</v>
      </c>
      <c r="AB334" s="139" t="s">
        <v>3226</v>
      </c>
    </row>
    <row r="335" spans="27:28" hidden="1">
      <c r="AA335" s="139" t="s">
        <v>3227</v>
      </c>
      <c r="AB335" s="139" t="s">
        <v>3228</v>
      </c>
    </row>
    <row r="336" spans="27:28" hidden="1">
      <c r="AA336" s="139" t="s">
        <v>3229</v>
      </c>
      <c r="AB336" s="139" t="s">
        <v>3230</v>
      </c>
    </row>
    <row r="337" spans="27:28" hidden="1">
      <c r="AA337" s="139" t="s">
        <v>3231</v>
      </c>
      <c r="AB337" s="139" t="s">
        <v>3232</v>
      </c>
    </row>
    <row r="338" spans="27:28" hidden="1">
      <c r="AA338" s="139" t="s">
        <v>3233</v>
      </c>
      <c r="AB338" s="139" t="s">
        <v>3234</v>
      </c>
    </row>
    <row r="339" spans="27:28" hidden="1">
      <c r="AA339" s="139" t="s">
        <v>3235</v>
      </c>
      <c r="AB339" s="139" t="s">
        <v>3236</v>
      </c>
    </row>
    <row r="340" spans="27:28" hidden="1">
      <c r="AA340" s="139" t="s">
        <v>3237</v>
      </c>
      <c r="AB340" s="139" t="s">
        <v>3238</v>
      </c>
    </row>
    <row r="341" spans="27:28" hidden="1">
      <c r="AA341" s="139" t="s">
        <v>3239</v>
      </c>
      <c r="AB341" s="139" t="s">
        <v>3240</v>
      </c>
    </row>
    <row r="342" spans="27:28" hidden="1">
      <c r="AA342" s="139" t="s">
        <v>3241</v>
      </c>
      <c r="AB342" s="139" t="s">
        <v>3242</v>
      </c>
    </row>
    <row r="343" spans="27:28" hidden="1">
      <c r="AA343" s="139" t="s">
        <v>3243</v>
      </c>
      <c r="AB343" s="139" t="s">
        <v>3244</v>
      </c>
    </row>
    <row r="344" spans="27:28" hidden="1">
      <c r="AA344" s="139" t="s">
        <v>3245</v>
      </c>
      <c r="AB344" s="139" t="s">
        <v>3246</v>
      </c>
    </row>
    <row r="345" spans="27:28" hidden="1">
      <c r="AA345" s="139" t="s">
        <v>3247</v>
      </c>
      <c r="AB345" s="139" t="s">
        <v>3248</v>
      </c>
    </row>
    <row r="346" spans="27:28" hidden="1">
      <c r="AA346" s="139" t="s">
        <v>3249</v>
      </c>
      <c r="AB346" s="139" t="s">
        <v>3250</v>
      </c>
    </row>
    <row r="347" spans="27:28" hidden="1">
      <c r="AA347" s="139" t="s">
        <v>3251</v>
      </c>
      <c r="AB347" s="139" t="s">
        <v>3252</v>
      </c>
    </row>
    <row r="348" spans="27:28" hidden="1">
      <c r="AA348" s="139" t="s">
        <v>3253</v>
      </c>
      <c r="AB348" s="139" t="s">
        <v>3254</v>
      </c>
    </row>
    <row r="349" spans="27:28" hidden="1">
      <c r="AA349" s="139" t="s">
        <v>3255</v>
      </c>
      <c r="AB349" s="139" t="s">
        <v>3256</v>
      </c>
    </row>
    <row r="350" spans="27:28" hidden="1">
      <c r="AA350" s="139" t="s">
        <v>3257</v>
      </c>
      <c r="AB350" s="139" t="s">
        <v>3258</v>
      </c>
    </row>
    <row r="351" spans="27:28" hidden="1">
      <c r="AA351" s="139" t="s">
        <v>3259</v>
      </c>
      <c r="AB351" s="139" t="s">
        <v>3260</v>
      </c>
    </row>
    <row r="352" spans="27:28" hidden="1">
      <c r="AA352" s="139" t="s">
        <v>3261</v>
      </c>
      <c r="AB352" s="139" t="s">
        <v>3262</v>
      </c>
    </row>
    <row r="353" spans="27:28" hidden="1">
      <c r="AA353" s="139" t="s">
        <v>3263</v>
      </c>
      <c r="AB353" s="139" t="s">
        <v>3264</v>
      </c>
    </row>
    <row r="354" spans="27:28" hidden="1">
      <c r="AA354" s="139" t="s">
        <v>3265</v>
      </c>
      <c r="AB354" s="139" t="s">
        <v>3266</v>
      </c>
    </row>
    <row r="355" spans="27:28" hidden="1">
      <c r="AA355" s="139" t="s">
        <v>3267</v>
      </c>
      <c r="AB355" s="139" t="s">
        <v>3198</v>
      </c>
    </row>
    <row r="356" spans="27:28" hidden="1">
      <c r="AA356" s="139" t="s">
        <v>3268</v>
      </c>
      <c r="AB356" s="139" t="s">
        <v>3204</v>
      </c>
    </row>
    <row r="357" spans="27:28" hidden="1">
      <c r="AA357" s="139" t="s">
        <v>3269</v>
      </c>
      <c r="AB357" s="139" t="s">
        <v>3270</v>
      </c>
    </row>
    <row r="358" spans="27:28" hidden="1">
      <c r="AA358" s="139" t="s">
        <v>3271</v>
      </c>
      <c r="AB358" s="139" t="s">
        <v>3272</v>
      </c>
    </row>
    <row r="359" spans="27:28" hidden="1">
      <c r="AA359" s="139" t="s">
        <v>3273</v>
      </c>
      <c r="AB359" s="139" t="s">
        <v>3274</v>
      </c>
    </row>
    <row r="360" spans="27:28" hidden="1">
      <c r="AA360" s="139" t="s">
        <v>3275</v>
      </c>
      <c r="AB360" s="139" t="s">
        <v>3276</v>
      </c>
    </row>
    <row r="361" spans="27:28" hidden="1">
      <c r="AA361" s="139" t="s">
        <v>3277</v>
      </c>
      <c r="AB361" s="139" t="s">
        <v>3278</v>
      </c>
    </row>
    <row r="362" spans="27:28" hidden="1">
      <c r="AA362" s="139" t="s">
        <v>3279</v>
      </c>
      <c r="AB362" s="139" t="s">
        <v>3280</v>
      </c>
    </row>
    <row r="363" spans="27:28" hidden="1">
      <c r="AA363" s="139" t="s">
        <v>3281</v>
      </c>
      <c r="AB363" s="139" t="s">
        <v>3282</v>
      </c>
    </row>
    <row r="364" spans="27:28" hidden="1">
      <c r="AA364" s="139" t="s">
        <v>3283</v>
      </c>
      <c r="AB364" s="139" t="s">
        <v>3284</v>
      </c>
    </row>
    <row r="365" spans="27:28" hidden="1">
      <c r="AA365" s="139" t="s">
        <v>3285</v>
      </c>
      <c r="AB365" s="139" t="s">
        <v>3286</v>
      </c>
    </row>
    <row r="366" spans="27:28" hidden="1">
      <c r="AA366" s="139" t="s">
        <v>3287</v>
      </c>
      <c r="AB366" s="139" t="s">
        <v>3288</v>
      </c>
    </row>
    <row r="367" spans="27:28" hidden="1">
      <c r="AA367" s="139" t="s">
        <v>3289</v>
      </c>
      <c r="AB367" s="139" t="s">
        <v>3290</v>
      </c>
    </row>
    <row r="368" spans="27:28" hidden="1">
      <c r="AA368" s="139" t="s">
        <v>3291</v>
      </c>
      <c r="AB368" s="139" t="s">
        <v>3292</v>
      </c>
    </row>
    <row r="369" spans="27:28" hidden="1">
      <c r="AA369" s="139" t="s">
        <v>3293</v>
      </c>
      <c r="AB369" s="139" t="s">
        <v>3294</v>
      </c>
    </row>
    <row r="370" spans="27:28" hidden="1">
      <c r="AA370" s="139" t="s">
        <v>3295</v>
      </c>
      <c r="AB370" s="139" t="s">
        <v>3296</v>
      </c>
    </row>
    <row r="371" spans="27:28" hidden="1">
      <c r="AA371" s="139" t="s">
        <v>3297</v>
      </c>
      <c r="AB371" s="139" t="s">
        <v>3298</v>
      </c>
    </row>
    <row r="372" spans="27:28" hidden="1">
      <c r="AA372" s="139" t="s">
        <v>3299</v>
      </c>
      <c r="AB372" s="139" t="s">
        <v>3300</v>
      </c>
    </row>
    <row r="373" spans="27:28" hidden="1">
      <c r="AA373" s="139" t="s">
        <v>3301</v>
      </c>
      <c r="AB373" s="139" t="s">
        <v>3302</v>
      </c>
    </row>
    <row r="374" spans="27:28" hidden="1">
      <c r="AA374" s="139" t="s">
        <v>3303</v>
      </c>
      <c r="AB374" s="139" t="s">
        <v>3304</v>
      </c>
    </row>
    <row r="375" spans="27:28" hidden="1">
      <c r="AA375" s="139" t="s">
        <v>3305</v>
      </c>
      <c r="AB375" s="139" t="s">
        <v>3306</v>
      </c>
    </row>
    <row r="376" spans="27:28" hidden="1">
      <c r="AA376" s="139" t="s">
        <v>3307</v>
      </c>
      <c r="AB376" s="139" t="s">
        <v>3308</v>
      </c>
    </row>
    <row r="377" spans="27:28" hidden="1">
      <c r="AA377" s="139" t="s">
        <v>3309</v>
      </c>
      <c r="AB377" s="139" t="s">
        <v>3310</v>
      </c>
    </row>
    <row r="378" spans="27:28" hidden="1">
      <c r="AA378" s="139" t="s">
        <v>3311</v>
      </c>
      <c r="AB378" s="139" t="s">
        <v>3312</v>
      </c>
    </row>
    <row r="379" spans="27:28" hidden="1">
      <c r="AA379" s="139" t="s">
        <v>3313</v>
      </c>
      <c r="AB379" s="139" t="s">
        <v>3314</v>
      </c>
    </row>
    <row r="380" spans="27:28" hidden="1">
      <c r="AA380" s="139" t="s">
        <v>3315</v>
      </c>
      <c r="AB380" s="139" t="s">
        <v>3316</v>
      </c>
    </row>
    <row r="381" spans="27:28" hidden="1">
      <c r="AA381" s="139" t="s">
        <v>3317</v>
      </c>
      <c r="AB381" s="139" t="s">
        <v>3318</v>
      </c>
    </row>
    <row r="382" spans="27:28" hidden="1">
      <c r="AA382" s="139" t="s">
        <v>3319</v>
      </c>
      <c r="AB382" s="139" t="s">
        <v>3320</v>
      </c>
    </row>
    <row r="383" spans="27:28" hidden="1">
      <c r="AA383" s="139" t="s">
        <v>3321</v>
      </c>
      <c r="AB383" s="139" t="s">
        <v>3322</v>
      </c>
    </row>
    <row r="384" spans="27:28" hidden="1">
      <c r="AA384" s="139" t="s">
        <v>3323</v>
      </c>
      <c r="AB384" s="139" t="s">
        <v>3324</v>
      </c>
    </row>
    <row r="385" spans="27:28" hidden="1">
      <c r="AA385" s="139" t="s">
        <v>3325</v>
      </c>
      <c r="AB385" s="139" t="s">
        <v>3326</v>
      </c>
    </row>
    <row r="386" spans="27:28" hidden="1">
      <c r="AA386" s="139" t="s">
        <v>3327</v>
      </c>
      <c r="AB386" s="139" t="s">
        <v>3328</v>
      </c>
    </row>
    <row r="387" spans="27:28" hidden="1">
      <c r="AA387" s="139" t="s">
        <v>3329</v>
      </c>
      <c r="AB387" s="139" t="s">
        <v>3330</v>
      </c>
    </row>
    <row r="388" spans="27:28" hidden="1">
      <c r="AA388" s="139" t="s">
        <v>3331</v>
      </c>
      <c r="AB388" s="139" t="s">
        <v>3332</v>
      </c>
    </row>
    <row r="389" spans="27:28" hidden="1">
      <c r="AA389" s="139" t="s">
        <v>3333</v>
      </c>
      <c r="AB389" s="139" t="s">
        <v>3334</v>
      </c>
    </row>
    <row r="390" spans="27:28" hidden="1">
      <c r="AA390" s="139" t="s">
        <v>3335</v>
      </c>
      <c r="AB390" s="139" t="s">
        <v>2981</v>
      </c>
    </row>
    <row r="391" spans="27:28" hidden="1">
      <c r="AA391" s="139" t="s">
        <v>3336</v>
      </c>
      <c r="AB391" s="139" t="s">
        <v>3337</v>
      </c>
    </row>
    <row r="392" spans="27:28" hidden="1">
      <c r="AA392" s="139" t="s">
        <v>3338</v>
      </c>
      <c r="AB392" s="139" t="s">
        <v>3339</v>
      </c>
    </row>
    <row r="393" spans="27:28" hidden="1">
      <c r="AA393" s="139" t="s">
        <v>3340</v>
      </c>
      <c r="AB393" s="139" t="s">
        <v>3341</v>
      </c>
    </row>
    <row r="394" spans="27:28" hidden="1">
      <c r="AA394" s="139" t="s">
        <v>3342</v>
      </c>
      <c r="AB394" s="139" t="s">
        <v>3343</v>
      </c>
    </row>
    <row r="395" spans="27:28" hidden="1">
      <c r="AA395" s="139" t="s">
        <v>3344</v>
      </c>
      <c r="AB395" s="139" t="s">
        <v>3345</v>
      </c>
    </row>
    <row r="396" spans="27:28" hidden="1">
      <c r="AA396" s="139" t="s">
        <v>3346</v>
      </c>
      <c r="AB396" s="139" t="s">
        <v>3347</v>
      </c>
    </row>
    <row r="397" spans="27:28" hidden="1">
      <c r="AA397" s="139" t="s">
        <v>3348</v>
      </c>
      <c r="AB397" s="139" t="s">
        <v>3349</v>
      </c>
    </row>
    <row r="398" spans="27:28" hidden="1">
      <c r="AA398" s="139" t="s">
        <v>3350</v>
      </c>
      <c r="AB398" s="139" t="s">
        <v>3351</v>
      </c>
    </row>
    <row r="399" spans="27:28" hidden="1">
      <c r="AA399" s="139" t="s">
        <v>3352</v>
      </c>
      <c r="AB399" s="139" t="s">
        <v>3353</v>
      </c>
    </row>
    <row r="400" spans="27:28" hidden="1">
      <c r="AA400" s="139" t="s">
        <v>3354</v>
      </c>
      <c r="AB400" s="139" t="s">
        <v>3355</v>
      </c>
    </row>
    <row r="401" spans="27:28" hidden="1">
      <c r="AA401" s="139" t="s">
        <v>3356</v>
      </c>
      <c r="AB401" s="139" t="s">
        <v>3357</v>
      </c>
    </row>
    <row r="402" spans="27:28" hidden="1">
      <c r="AA402" s="139" t="s">
        <v>984</v>
      </c>
      <c r="AB402" s="139" t="s">
        <v>985</v>
      </c>
    </row>
    <row r="403" spans="27:28" hidden="1">
      <c r="AA403" s="139" t="s">
        <v>986</v>
      </c>
      <c r="AB403" s="139" t="s">
        <v>987</v>
      </c>
    </row>
    <row r="404" spans="27:28" hidden="1">
      <c r="AA404" s="139" t="s">
        <v>988</v>
      </c>
      <c r="AB404" s="139" t="s">
        <v>989</v>
      </c>
    </row>
    <row r="405" spans="27:28" hidden="1">
      <c r="AA405" s="139" t="s">
        <v>1759</v>
      </c>
      <c r="AB405" s="139" t="s">
        <v>1760</v>
      </c>
    </row>
    <row r="406" spans="27:28" hidden="1">
      <c r="AA406" s="139" t="s">
        <v>1761</v>
      </c>
      <c r="AB406" s="139" t="s">
        <v>1762</v>
      </c>
    </row>
    <row r="407" spans="27:28" hidden="1">
      <c r="AA407" s="139" t="s">
        <v>3358</v>
      </c>
      <c r="AB407" s="139" t="s">
        <v>3359</v>
      </c>
    </row>
    <row r="408" spans="27:28" hidden="1">
      <c r="AA408" s="139" t="s">
        <v>3360</v>
      </c>
      <c r="AB408" s="139" t="s">
        <v>3361</v>
      </c>
    </row>
    <row r="409" spans="27:28" hidden="1">
      <c r="AA409" s="139" t="s">
        <v>3362</v>
      </c>
      <c r="AB409" s="139" t="s">
        <v>3363</v>
      </c>
    </row>
    <row r="410" spans="27:28" hidden="1">
      <c r="AA410" s="139" t="s">
        <v>3364</v>
      </c>
      <c r="AB410" s="139" t="s">
        <v>3365</v>
      </c>
    </row>
    <row r="411" spans="27:28" hidden="1">
      <c r="AA411" s="139" t="s">
        <v>3366</v>
      </c>
      <c r="AB411" s="139" t="s">
        <v>3365</v>
      </c>
    </row>
    <row r="412" spans="27:28" hidden="1">
      <c r="AA412" s="139" t="s">
        <v>3367</v>
      </c>
      <c r="AB412" s="139" t="s">
        <v>3368</v>
      </c>
    </row>
    <row r="413" spans="27:28" hidden="1">
      <c r="AA413" s="139" t="s">
        <v>3369</v>
      </c>
      <c r="AB413" s="139" t="s">
        <v>3370</v>
      </c>
    </row>
    <row r="414" spans="27:28" hidden="1">
      <c r="AA414" s="139" t="s">
        <v>990</v>
      </c>
      <c r="AB414" s="139" t="s">
        <v>340</v>
      </c>
    </row>
    <row r="415" spans="27:28" hidden="1">
      <c r="AA415" s="139" t="s">
        <v>991</v>
      </c>
      <c r="AB415" s="139" t="s">
        <v>341</v>
      </c>
    </row>
    <row r="416" spans="27:28" hidden="1">
      <c r="AA416" s="139" t="s">
        <v>992</v>
      </c>
      <c r="AB416" s="139" t="s">
        <v>993</v>
      </c>
    </row>
    <row r="417" spans="27:28" hidden="1">
      <c r="AA417" s="139" t="s">
        <v>994</v>
      </c>
      <c r="AB417" s="139" t="s">
        <v>995</v>
      </c>
    </row>
    <row r="418" spans="27:28" hidden="1">
      <c r="AA418" s="139" t="s">
        <v>1763</v>
      </c>
      <c r="AB418" s="139" t="s">
        <v>1316</v>
      </c>
    </row>
    <row r="419" spans="27:28" hidden="1">
      <c r="AA419" s="139" t="s">
        <v>3371</v>
      </c>
      <c r="AB419" s="139" t="s">
        <v>3372</v>
      </c>
    </row>
    <row r="420" spans="27:28" hidden="1">
      <c r="AA420" s="139" t="s">
        <v>3373</v>
      </c>
      <c r="AB420" s="139" t="s">
        <v>1323</v>
      </c>
    </row>
    <row r="421" spans="27:28" hidden="1">
      <c r="AA421" s="139" t="s">
        <v>996</v>
      </c>
      <c r="AB421" s="139" t="s">
        <v>997</v>
      </c>
    </row>
    <row r="422" spans="27:28" hidden="1">
      <c r="AA422" s="139" t="s">
        <v>998</v>
      </c>
      <c r="AB422" s="139" t="s">
        <v>999</v>
      </c>
    </row>
    <row r="423" spans="27:28" hidden="1">
      <c r="AA423" s="139" t="s">
        <v>1000</v>
      </c>
      <c r="AB423" s="139" t="s">
        <v>1001</v>
      </c>
    </row>
    <row r="424" spans="27:28" hidden="1">
      <c r="AA424" s="139" t="s">
        <v>3374</v>
      </c>
      <c r="AB424" s="139" t="s">
        <v>3375</v>
      </c>
    </row>
    <row r="425" spans="27:28" hidden="1">
      <c r="AA425" s="139" t="s">
        <v>3376</v>
      </c>
      <c r="AB425" s="139" t="s">
        <v>3377</v>
      </c>
    </row>
    <row r="426" spans="27:28" hidden="1">
      <c r="AA426" s="139" t="s">
        <v>1002</v>
      </c>
      <c r="AB426" s="139" t="s">
        <v>1003</v>
      </c>
    </row>
    <row r="427" spans="27:28" hidden="1">
      <c r="AA427" s="139" t="s">
        <v>1004</v>
      </c>
      <c r="AB427" s="139" t="s">
        <v>1005</v>
      </c>
    </row>
    <row r="428" spans="27:28" hidden="1">
      <c r="AA428" s="139" t="s">
        <v>1006</v>
      </c>
      <c r="AB428" s="139" t="s">
        <v>1007</v>
      </c>
    </row>
    <row r="429" spans="27:28" hidden="1">
      <c r="AA429" s="139" t="s">
        <v>1008</v>
      </c>
      <c r="AB429" s="139" t="s">
        <v>1009</v>
      </c>
    </row>
    <row r="430" spans="27:28" hidden="1">
      <c r="AA430" s="139" t="s">
        <v>1010</v>
      </c>
      <c r="AB430" s="139" t="s">
        <v>1011</v>
      </c>
    </row>
    <row r="431" spans="27:28" hidden="1">
      <c r="AA431" s="139" t="s">
        <v>1012</v>
      </c>
      <c r="AB431" s="139" t="s">
        <v>1013</v>
      </c>
    </row>
    <row r="432" spans="27:28" hidden="1">
      <c r="AA432" s="139" t="s">
        <v>1014</v>
      </c>
      <c r="AB432" s="139" t="s">
        <v>1015</v>
      </c>
    </row>
    <row r="433" spans="27:28" hidden="1">
      <c r="AA433" s="139" t="s">
        <v>1016</v>
      </c>
      <c r="AB433" s="139" t="s">
        <v>1017</v>
      </c>
    </row>
    <row r="434" spans="27:28" hidden="1">
      <c r="AA434" s="139" t="s">
        <v>1018</v>
      </c>
      <c r="AB434" s="139" t="s">
        <v>1019</v>
      </c>
    </row>
    <row r="435" spans="27:28" hidden="1">
      <c r="AA435" s="139" t="s">
        <v>1020</v>
      </c>
      <c r="AB435" s="139" t="s">
        <v>1021</v>
      </c>
    </row>
    <row r="436" spans="27:28" hidden="1">
      <c r="AA436" s="139" t="s">
        <v>1022</v>
      </c>
      <c r="AB436" s="139" t="s">
        <v>1023</v>
      </c>
    </row>
    <row r="437" spans="27:28" hidden="1">
      <c r="AA437" s="139" t="s">
        <v>1024</v>
      </c>
      <c r="AB437" s="139" t="s">
        <v>1025</v>
      </c>
    </row>
    <row r="438" spans="27:28" hidden="1">
      <c r="AA438" s="139" t="s">
        <v>1026</v>
      </c>
      <c r="AB438" s="139" t="s">
        <v>1027</v>
      </c>
    </row>
    <row r="439" spans="27:28" hidden="1">
      <c r="AA439" s="139" t="s">
        <v>1028</v>
      </c>
      <c r="AB439" s="139" t="s">
        <v>1029</v>
      </c>
    </row>
    <row r="440" spans="27:28" hidden="1">
      <c r="AA440" s="139" t="s">
        <v>1030</v>
      </c>
      <c r="AB440" s="139" t="s">
        <v>1031</v>
      </c>
    </row>
    <row r="441" spans="27:28" hidden="1">
      <c r="AA441" s="139" t="s">
        <v>1032</v>
      </c>
      <c r="AB441" s="139" t="s">
        <v>1033</v>
      </c>
    </row>
    <row r="442" spans="27:28" hidden="1">
      <c r="AA442" s="139" t="s">
        <v>1034</v>
      </c>
      <c r="AB442" s="139" t="s">
        <v>1035</v>
      </c>
    </row>
    <row r="443" spans="27:28" hidden="1">
      <c r="AA443" s="139" t="s">
        <v>1036</v>
      </c>
      <c r="AB443" s="139" t="s">
        <v>1037</v>
      </c>
    </row>
    <row r="444" spans="27:28" hidden="1">
      <c r="AA444" s="139" t="s">
        <v>1038</v>
      </c>
      <c r="AB444" s="139" t="s">
        <v>1039</v>
      </c>
    </row>
    <row r="445" spans="27:28" hidden="1">
      <c r="AA445" s="139" t="s">
        <v>1040</v>
      </c>
      <c r="AB445" s="139" t="s">
        <v>1041</v>
      </c>
    </row>
    <row r="446" spans="27:28" hidden="1">
      <c r="AA446" s="139" t="s">
        <v>1042</v>
      </c>
      <c r="AB446" s="139" t="s">
        <v>1043</v>
      </c>
    </row>
    <row r="447" spans="27:28" hidden="1">
      <c r="AA447" s="139" t="s">
        <v>1044</v>
      </c>
      <c r="AB447" s="139" t="s">
        <v>1045</v>
      </c>
    </row>
    <row r="448" spans="27:28" hidden="1">
      <c r="AA448" s="139" t="s">
        <v>1046</v>
      </c>
      <c r="AB448" s="139" t="s">
        <v>1047</v>
      </c>
    </row>
    <row r="449" spans="27:28" hidden="1">
      <c r="AA449" s="139" t="s">
        <v>1048</v>
      </c>
      <c r="AB449" s="139" t="s">
        <v>1049</v>
      </c>
    </row>
    <row r="450" spans="27:28" hidden="1">
      <c r="AA450" s="139" t="s">
        <v>1050</v>
      </c>
      <c r="AB450" s="139" t="s">
        <v>1051</v>
      </c>
    </row>
    <row r="451" spans="27:28" hidden="1">
      <c r="AA451" s="139" t="s">
        <v>1764</v>
      </c>
      <c r="AB451" s="139" t="s">
        <v>1765</v>
      </c>
    </row>
    <row r="452" spans="27:28" hidden="1">
      <c r="AA452" s="139" t="s">
        <v>1766</v>
      </c>
      <c r="AB452" s="139" t="s">
        <v>1767</v>
      </c>
    </row>
    <row r="453" spans="27:28" hidden="1">
      <c r="AA453" s="139" t="s">
        <v>1768</v>
      </c>
      <c r="AB453" s="139" t="s">
        <v>1769</v>
      </c>
    </row>
    <row r="454" spans="27:28" hidden="1">
      <c r="AA454" s="139" t="s">
        <v>1770</v>
      </c>
      <c r="AB454" s="139" t="s">
        <v>1771</v>
      </c>
    </row>
    <row r="455" spans="27:28" hidden="1">
      <c r="AA455" s="139" t="s">
        <v>1772</v>
      </c>
      <c r="AB455" s="139" t="s">
        <v>1773</v>
      </c>
    </row>
    <row r="456" spans="27:28" hidden="1">
      <c r="AA456" s="139" t="s">
        <v>1774</v>
      </c>
      <c r="AB456" s="139" t="s">
        <v>1775</v>
      </c>
    </row>
    <row r="457" spans="27:28" hidden="1">
      <c r="AA457" s="139" t="s">
        <v>1776</v>
      </c>
      <c r="AB457" s="139" t="s">
        <v>1777</v>
      </c>
    </row>
    <row r="458" spans="27:28" hidden="1">
      <c r="AA458" s="139" t="s">
        <v>1778</v>
      </c>
      <c r="AB458" s="139" t="s">
        <v>1779</v>
      </c>
    </row>
    <row r="459" spans="27:28" hidden="1">
      <c r="AA459" s="139" t="s">
        <v>1780</v>
      </c>
      <c r="AB459" s="139" t="s">
        <v>1781</v>
      </c>
    </row>
    <row r="460" spans="27:28" hidden="1">
      <c r="AA460" s="139" t="s">
        <v>1782</v>
      </c>
      <c r="AB460" s="139" t="s">
        <v>1783</v>
      </c>
    </row>
    <row r="461" spans="27:28" hidden="1">
      <c r="AA461" s="139" t="s">
        <v>1784</v>
      </c>
      <c r="AB461" s="139" t="s">
        <v>1785</v>
      </c>
    </row>
    <row r="462" spans="27:28" hidden="1">
      <c r="AA462" s="139" t="s">
        <v>1786</v>
      </c>
      <c r="AB462" s="139" t="s">
        <v>1787</v>
      </c>
    </row>
    <row r="463" spans="27:28" hidden="1">
      <c r="AA463" s="139" t="s">
        <v>1788</v>
      </c>
      <c r="AB463" s="139" t="s">
        <v>1789</v>
      </c>
    </row>
    <row r="464" spans="27:28" hidden="1">
      <c r="AA464" s="139" t="s">
        <v>1790</v>
      </c>
      <c r="AB464" s="139" t="s">
        <v>1791</v>
      </c>
    </row>
    <row r="465" spans="27:28" hidden="1">
      <c r="AA465" s="139" t="s">
        <v>1792</v>
      </c>
      <c r="AB465" s="139" t="s">
        <v>1793</v>
      </c>
    </row>
    <row r="466" spans="27:28" hidden="1">
      <c r="AA466" s="139" t="s">
        <v>1794</v>
      </c>
      <c r="AB466" s="139" t="s">
        <v>1795</v>
      </c>
    </row>
    <row r="467" spans="27:28" hidden="1">
      <c r="AA467" s="139" t="s">
        <v>1796</v>
      </c>
      <c r="AB467" s="139" t="s">
        <v>1797</v>
      </c>
    </row>
    <row r="468" spans="27:28" hidden="1">
      <c r="AA468" s="139" t="s">
        <v>1798</v>
      </c>
      <c r="AB468" s="139" t="s">
        <v>1799</v>
      </c>
    </row>
    <row r="469" spans="27:28" hidden="1">
      <c r="AA469" s="139" t="s">
        <v>1800</v>
      </c>
      <c r="AB469" s="139" t="s">
        <v>1801</v>
      </c>
    </row>
    <row r="470" spans="27:28" hidden="1">
      <c r="AA470" s="139" t="s">
        <v>1802</v>
      </c>
      <c r="AB470" s="139" t="s">
        <v>1803</v>
      </c>
    </row>
    <row r="471" spans="27:28" hidden="1">
      <c r="AA471" s="139" t="s">
        <v>1804</v>
      </c>
      <c r="AB471" s="139" t="s">
        <v>1805</v>
      </c>
    </row>
    <row r="472" spans="27:28" hidden="1">
      <c r="AA472" s="139" t="s">
        <v>1806</v>
      </c>
      <c r="AB472" s="139" t="s">
        <v>1807</v>
      </c>
    </row>
    <row r="473" spans="27:28" hidden="1">
      <c r="AA473" s="139" t="s">
        <v>1808</v>
      </c>
      <c r="AB473" s="139" t="s">
        <v>1809</v>
      </c>
    </row>
    <row r="474" spans="27:28" hidden="1">
      <c r="AA474" s="139" t="s">
        <v>1810</v>
      </c>
      <c r="AB474" s="139" t="s">
        <v>1811</v>
      </c>
    </row>
    <row r="475" spans="27:28" hidden="1">
      <c r="AA475" s="139" t="s">
        <v>1812</v>
      </c>
      <c r="AB475" s="139" t="s">
        <v>1813</v>
      </c>
    </row>
    <row r="476" spans="27:28" hidden="1">
      <c r="AA476" s="139" t="s">
        <v>1814</v>
      </c>
      <c r="AB476" s="139" t="s">
        <v>1815</v>
      </c>
    </row>
    <row r="477" spans="27:28" hidden="1">
      <c r="AA477" s="139" t="s">
        <v>3378</v>
      </c>
      <c r="AB477" s="139" t="s">
        <v>3379</v>
      </c>
    </row>
    <row r="478" spans="27:28" hidden="1">
      <c r="AA478" s="139" t="s">
        <v>3380</v>
      </c>
      <c r="AB478" s="139" t="s">
        <v>3381</v>
      </c>
    </row>
    <row r="479" spans="27:28" hidden="1">
      <c r="AA479" s="139" t="s">
        <v>3382</v>
      </c>
      <c r="AB479" s="139" t="s">
        <v>3383</v>
      </c>
    </row>
    <row r="480" spans="27:28" hidden="1">
      <c r="AA480" s="139" t="s">
        <v>3384</v>
      </c>
      <c r="AB480" s="139" t="s">
        <v>3385</v>
      </c>
    </row>
    <row r="481" spans="27:28" hidden="1">
      <c r="AA481" s="139" t="s">
        <v>3386</v>
      </c>
      <c r="AB481" s="139" t="s">
        <v>3387</v>
      </c>
    </row>
    <row r="482" spans="27:28" hidden="1">
      <c r="AA482" s="139" t="s">
        <v>3388</v>
      </c>
      <c r="AB482" s="139" t="s">
        <v>3389</v>
      </c>
    </row>
    <row r="483" spans="27:28" hidden="1">
      <c r="AA483" s="139" t="s">
        <v>3390</v>
      </c>
      <c r="AB483" s="139" t="s">
        <v>3391</v>
      </c>
    </row>
    <row r="484" spans="27:28" hidden="1">
      <c r="AA484" s="139" t="s">
        <v>3392</v>
      </c>
      <c r="AB484" s="139" t="s">
        <v>3393</v>
      </c>
    </row>
    <row r="485" spans="27:28" hidden="1">
      <c r="AA485" s="139" t="s">
        <v>3394</v>
      </c>
      <c r="AB485" s="139" t="s">
        <v>3395</v>
      </c>
    </row>
    <row r="486" spans="27:28" hidden="1">
      <c r="AA486" s="139" t="s">
        <v>3396</v>
      </c>
      <c r="AB486" s="139" t="s">
        <v>3397</v>
      </c>
    </row>
    <row r="487" spans="27:28" hidden="1">
      <c r="AA487" s="139" t="s">
        <v>3398</v>
      </c>
      <c r="AB487" s="139" t="s">
        <v>3399</v>
      </c>
    </row>
    <row r="488" spans="27:28" hidden="1">
      <c r="AA488" s="139" t="s">
        <v>3400</v>
      </c>
      <c r="AB488" s="139" t="s">
        <v>3401</v>
      </c>
    </row>
    <row r="489" spans="27:28" hidden="1">
      <c r="AA489" s="139" t="s">
        <v>3402</v>
      </c>
      <c r="AB489" s="139" t="s">
        <v>3403</v>
      </c>
    </row>
    <row r="490" spans="27:28" hidden="1">
      <c r="AA490" s="139" t="s">
        <v>3404</v>
      </c>
      <c r="AB490" s="139" t="s">
        <v>3405</v>
      </c>
    </row>
    <row r="491" spans="27:28" hidden="1">
      <c r="AA491" s="139" t="s">
        <v>3406</v>
      </c>
      <c r="AB491" s="139" t="s">
        <v>3407</v>
      </c>
    </row>
    <row r="492" spans="27:28" hidden="1">
      <c r="AA492" s="139" t="s">
        <v>3408</v>
      </c>
      <c r="AB492" s="139" t="s">
        <v>3409</v>
      </c>
    </row>
    <row r="493" spans="27:28" hidden="1">
      <c r="AA493" s="139" t="s">
        <v>3410</v>
      </c>
      <c r="AB493" s="139" t="s">
        <v>3411</v>
      </c>
    </row>
    <row r="494" spans="27:28" hidden="1">
      <c r="AA494" s="139" t="s">
        <v>3412</v>
      </c>
      <c r="AB494" s="139" t="s">
        <v>3413</v>
      </c>
    </row>
    <row r="495" spans="27:28" hidden="1">
      <c r="AA495" s="139" t="s">
        <v>3414</v>
      </c>
      <c r="AB495" s="139" t="s">
        <v>3415</v>
      </c>
    </row>
    <row r="496" spans="27:28" hidden="1">
      <c r="AA496" s="139" t="s">
        <v>3416</v>
      </c>
      <c r="AB496" s="139" t="s">
        <v>3417</v>
      </c>
    </row>
    <row r="497" spans="27:28" hidden="1">
      <c r="AA497" s="139" t="s">
        <v>3418</v>
      </c>
      <c r="AB497" s="139" t="s">
        <v>3419</v>
      </c>
    </row>
    <row r="498" spans="27:28" hidden="1">
      <c r="AA498" s="139" t="s">
        <v>3420</v>
      </c>
      <c r="AB498" s="139" t="s">
        <v>3421</v>
      </c>
    </row>
    <row r="499" spans="27:28" hidden="1">
      <c r="AA499" s="139" t="s">
        <v>3422</v>
      </c>
      <c r="AB499" s="139" t="s">
        <v>3421</v>
      </c>
    </row>
    <row r="500" spans="27:28" hidden="1">
      <c r="AA500" s="139" t="s">
        <v>3423</v>
      </c>
      <c r="AB500" s="139" t="s">
        <v>3424</v>
      </c>
    </row>
    <row r="501" spans="27:28" hidden="1">
      <c r="AA501" s="139" t="s">
        <v>3425</v>
      </c>
      <c r="AB501" s="139" t="s">
        <v>3426</v>
      </c>
    </row>
    <row r="502" spans="27:28" hidden="1">
      <c r="AA502" s="139" t="s">
        <v>3427</v>
      </c>
      <c r="AB502" s="139" t="s">
        <v>3428</v>
      </c>
    </row>
    <row r="503" spans="27:28" hidden="1">
      <c r="AA503" s="139" t="s">
        <v>3429</v>
      </c>
      <c r="AB503" s="139" t="s">
        <v>3430</v>
      </c>
    </row>
    <row r="504" spans="27:28" hidden="1">
      <c r="AA504" s="139" t="s">
        <v>3431</v>
      </c>
      <c r="AB504" s="139" t="s">
        <v>3432</v>
      </c>
    </row>
    <row r="505" spans="27:28" hidden="1">
      <c r="AA505" s="139" t="s">
        <v>3433</v>
      </c>
      <c r="AB505" s="139" t="s">
        <v>3434</v>
      </c>
    </row>
    <row r="506" spans="27:28" hidden="1">
      <c r="AA506" s="139" t="s">
        <v>3435</v>
      </c>
      <c r="AB506" s="139" t="s">
        <v>3436</v>
      </c>
    </row>
    <row r="507" spans="27:28" hidden="1">
      <c r="AA507" s="139" t="s">
        <v>3437</v>
      </c>
      <c r="AB507" s="139" t="s">
        <v>3438</v>
      </c>
    </row>
    <row r="508" spans="27:28" hidden="1">
      <c r="AA508" s="139" t="s">
        <v>3439</v>
      </c>
      <c r="AB508" s="139" t="s">
        <v>3440</v>
      </c>
    </row>
    <row r="509" spans="27:28" hidden="1">
      <c r="AA509" s="139" t="s">
        <v>3441</v>
      </c>
      <c r="AB509" s="139" t="s">
        <v>3442</v>
      </c>
    </row>
    <row r="510" spans="27:28" hidden="1">
      <c r="AA510" s="139" t="s">
        <v>3443</v>
      </c>
      <c r="AB510" s="139" t="s">
        <v>3444</v>
      </c>
    </row>
    <row r="511" spans="27:28" hidden="1">
      <c r="AA511" s="139" t="s">
        <v>3445</v>
      </c>
      <c r="AB511" s="139" t="s">
        <v>3446</v>
      </c>
    </row>
    <row r="512" spans="27:28" hidden="1">
      <c r="AA512" s="139" t="s">
        <v>3447</v>
      </c>
      <c r="AB512" s="139" t="s">
        <v>3448</v>
      </c>
    </row>
    <row r="513" spans="27:28" hidden="1">
      <c r="AA513" s="139" t="s">
        <v>3449</v>
      </c>
      <c r="AB513" s="139" t="s">
        <v>3448</v>
      </c>
    </row>
    <row r="514" spans="27:28" hidden="1">
      <c r="AA514" s="139" t="s">
        <v>3450</v>
      </c>
      <c r="AB514" s="139" t="s">
        <v>3451</v>
      </c>
    </row>
    <row r="515" spans="27:28" hidden="1">
      <c r="AA515" s="139" t="s">
        <v>3452</v>
      </c>
      <c r="AB515" s="139" t="s">
        <v>3453</v>
      </c>
    </row>
    <row r="516" spans="27:28" hidden="1">
      <c r="AA516" s="139" t="s">
        <v>3454</v>
      </c>
      <c r="AB516" s="139" t="s">
        <v>3455</v>
      </c>
    </row>
    <row r="517" spans="27:28" hidden="1">
      <c r="AA517" s="139" t="s">
        <v>3456</v>
      </c>
      <c r="AB517" s="139" t="s">
        <v>3457</v>
      </c>
    </row>
    <row r="518" spans="27:28" hidden="1">
      <c r="AA518" s="139" t="s">
        <v>3458</v>
      </c>
      <c r="AB518" s="139" t="s">
        <v>1795</v>
      </c>
    </row>
    <row r="519" spans="27:28" hidden="1">
      <c r="AA519" s="139" t="s">
        <v>3459</v>
      </c>
      <c r="AB519" s="139" t="s">
        <v>3460</v>
      </c>
    </row>
    <row r="520" spans="27:28" hidden="1">
      <c r="AA520" s="139" t="s">
        <v>3461</v>
      </c>
      <c r="AB520" s="139" t="s">
        <v>3462</v>
      </c>
    </row>
    <row r="521" spans="27:28" hidden="1">
      <c r="AA521" s="139" t="s">
        <v>3463</v>
      </c>
      <c r="AB521" s="139" t="s">
        <v>3464</v>
      </c>
    </row>
    <row r="522" spans="27:28" hidden="1">
      <c r="AA522" s="139" t="s">
        <v>3465</v>
      </c>
      <c r="AB522" s="139" t="s">
        <v>3466</v>
      </c>
    </row>
    <row r="523" spans="27:28" hidden="1">
      <c r="AA523" s="139" t="s">
        <v>3467</v>
      </c>
      <c r="AB523" s="139" t="s">
        <v>3468</v>
      </c>
    </row>
    <row r="524" spans="27:28" hidden="1">
      <c r="AA524" s="139" t="s">
        <v>3469</v>
      </c>
      <c r="AB524" s="139" t="s">
        <v>3446</v>
      </c>
    </row>
    <row r="525" spans="27:28" hidden="1">
      <c r="AA525" s="139" t="s">
        <v>3470</v>
      </c>
      <c r="AB525" s="139" t="s">
        <v>3466</v>
      </c>
    </row>
    <row r="526" spans="27:28" hidden="1">
      <c r="AA526" s="139" t="s">
        <v>3471</v>
      </c>
      <c r="AB526" s="139" t="s">
        <v>3472</v>
      </c>
    </row>
    <row r="527" spans="27:28" hidden="1">
      <c r="AA527" s="139" t="s">
        <v>3473</v>
      </c>
      <c r="AB527" s="139" t="s">
        <v>3474</v>
      </c>
    </row>
    <row r="528" spans="27:28" hidden="1">
      <c r="AA528" s="139" t="s">
        <v>3475</v>
      </c>
      <c r="AB528" s="139" t="s">
        <v>3476</v>
      </c>
    </row>
    <row r="529" spans="27:28" hidden="1">
      <c r="AA529" s="139" t="s">
        <v>3477</v>
      </c>
      <c r="AB529" s="139" t="s">
        <v>3478</v>
      </c>
    </row>
    <row r="530" spans="27:28" hidden="1">
      <c r="AA530" s="139" t="s">
        <v>3479</v>
      </c>
      <c r="AB530" s="139" t="s">
        <v>3480</v>
      </c>
    </row>
    <row r="531" spans="27:28" hidden="1">
      <c r="AA531" s="139" t="s">
        <v>3481</v>
      </c>
      <c r="AB531" s="139" t="s">
        <v>3482</v>
      </c>
    </row>
    <row r="532" spans="27:28" hidden="1">
      <c r="AA532" s="139" t="s">
        <v>3483</v>
      </c>
      <c r="AB532" s="139" t="s">
        <v>3484</v>
      </c>
    </row>
    <row r="533" spans="27:28" hidden="1">
      <c r="AA533" s="139" t="s">
        <v>3485</v>
      </c>
      <c r="AB533" s="139" t="s">
        <v>3486</v>
      </c>
    </row>
    <row r="534" spans="27:28" hidden="1">
      <c r="AA534" s="139" t="s">
        <v>1052</v>
      </c>
      <c r="AB534" s="139" t="s">
        <v>340</v>
      </c>
    </row>
    <row r="535" spans="27:28" hidden="1">
      <c r="AA535" s="139" t="s">
        <v>1053</v>
      </c>
      <c r="AB535" s="139" t="s">
        <v>341</v>
      </c>
    </row>
    <row r="536" spans="27:28" hidden="1">
      <c r="AA536" s="139" t="s">
        <v>1054</v>
      </c>
      <c r="AB536" s="139" t="s">
        <v>1055</v>
      </c>
    </row>
    <row r="537" spans="27:28" hidden="1">
      <c r="AA537" s="139" t="s">
        <v>1056</v>
      </c>
      <c r="AB537" s="139" t="s">
        <v>993</v>
      </c>
    </row>
    <row r="538" spans="27:28" hidden="1">
      <c r="AA538" s="139" t="s">
        <v>1816</v>
      </c>
      <c r="AB538" s="139" t="s">
        <v>1817</v>
      </c>
    </row>
    <row r="539" spans="27:28" hidden="1">
      <c r="AA539" s="139" t="s">
        <v>1818</v>
      </c>
      <c r="AB539" s="139" t="s">
        <v>1316</v>
      </c>
    </row>
    <row r="540" spans="27:28" hidden="1">
      <c r="AA540" s="139" t="s">
        <v>3487</v>
      </c>
      <c r="AB540" s="139" t="s">
        <v>3372</v>
      </c>
    </row>
    <row r="541" spans="27:28" hidden="1">
      <c r="AA541" s="139" t="s">
        <v>1328</v>
      </c>
      <c r="AB541" s="139" t="s">
        <v>1329</v>
      </c>
    </row>
    <row r="542" spans="27:28" hidden="1">
      <c r="AA542" s="139" t="s">
        <v>1330</v>
      </c>
      <c r="AB542" s="139" t="s">
        <v>1331</v>
      </c>
    </row>
    <row r="543" spans="27:28" hidden="1">
      <c r="AA543" s="139" t="s">
        <v>1332</v>
      </c>
      <c r="AB543" s="139" t="s">
        <v>1333</v>
      </c>
    </row>
    <row r="544" spans="27:28" hidden="1">
      <c r="AA544" s="139" t="s">
        <v>1334</v>
      </c>
      <c r="AB544" s="139" t="s">
        <v>1335</v>
      </c>
    </row>
    <row r="545" spans="27:28" hidden="1">
      <c r="AA545" s="139" t="s">
        <v>1336</v>
      </c>
      <c r="AB545" s="139" t="s">
        <v>1337</v>
      </c>
    </row>
    <row r="546" spans="27:28" hidden="1">
      <c r="AA546" s="139" t="s">
        <v>1338</v>
      </c>
      <c r="AB546" s="139" t="s">
        <v>1339</v>
      </c>
    </row>
    <row r="547" spans="27:28" hidden="1">
      <c r="AA547" s="139" t="s">
        <v>1340</v>
      </c>
      <c r="AB547" s="139" t="s">
        <v>1341</v>
      </c>
    </row>
    <row r="548" spans="27:28" hidden="1">
      <c r="AA548" s="139" t="s">
        <v>1342</v>
      </c>
      <c r="AB548" s="139" t="s">
        <v>1343</v>
      </c>
    </row>
    <row r="549" spans="27:28" hidden="1">
      <c r="AA549" s="139" t="s">
        <v>1344</v>
      </c>
      <c r="AB549" s="139" t="s">
        <v>1345</v>
      </c>
    </row>
    <row r="550" spans="27:28" hidden="1">
      <c r="AA550" s="139" t="s">
        <v>1346</v>
      </c>
      <c r="AB550" s="139" t="s">
        <v>1347</v>
      </c>
    </row>
    <row r="551" spans="27:28" hidden="1">
      <c r="AA551" s="139" t="s">
        <v>1348</v>
      </c>
      <c r="AB551" s="139" t="s">
        <v>1349</v>
      </c>
    </row>
    <row r="552" spans="27:28"/>
    <row r="553" spans="27:28"/>
    <row r="554" spans="27:28"/>
    <row r="555" spans="27:28"/>
    <row r="556" spans="27:28"/>
    <row r="557" spans="27:28"/>
    <row r="558" spans="27:28"/>
    <row r="559" spans="27:28"/>
    <row r="560" spans="27:28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</sheetData>
  <sheetProtection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34">
      <formula1>#REF!</formula1>
    </dataValidation>
    <dataValidation type="whole" allowBlank="1" showInputMessage="1" showErrorMessage="1" errorTitle="GREŠKA" error="U ovo polje je dozvoljen unos samo brojčanih vrijednosti (bez decimala!)" sqref="G3:I34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34">
      <formula1>#REF!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34">
      <formula1>$AA$3:$AA$551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78" activePane="bottomLeft" state="frozen"/>
      <selection pane="bottomLeft" activeCell="K7" sqref="K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1" t="s">
        <v>261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2" t="s">
        <v>263</v>
      </c>
      <c r="C3" s="273"/>
      <c r="D3" s="274" t="s">
        <v>757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6"/>
      <c r="V3" s="206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4" t="s">
        <v>266</v>
      </c>
      <c r="E4" s="207" t="s">
        <v>346</v>
      </c>
      <c r="F4" s="207" t="s">
        <v>318</v>
      </c>
      <c r="G4" s="208" t="s">
        <v>19</v>
      </c>
      <c r="H4" s="208" t="s">
        <v>1374</v>
      </c>
      <c r="I4" s="208" t="s">
        <v>20</v>
      </c>
      <c r="J4" s="208" t="s">
        <v>267</v>
      </c>
      <c r="K4" s="208" t="s">
        <v>268</v>
      </c>
      <c r="L4" s="208" t="s">
        <v>1375</v>
      </c>
      <c r="M4" s="208" t="s">
        <v>269</v>
      </c>
      <c r="N4" s="208" t="s">
        <v>270</v>
      </c>
      <c r="O4" s="208" t="s">
        <v>271</v>
      </c>
      <c r="P4" s="208" t="s">
        <v>1376</v>
      </c>
      <c r="Q4" s="208" t="s">
        <v>1377</v>
      </c>
      <c r="R4" s="208" t="s">
        <v>1909</v>
      </c>
      <c r="S4" s="93" t="s">
        <v>3493</v>
      </c>
      <c r="T4" s="208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3934550</v>
      </c>
      <c r="E5" s="3"/>
      <c r="F5" s="3"/>
      <c r="G5" s="3"/>
      <c r="H5" s="3"/>
      <c r="I5" s="3">
        <v>3700000</v>
      </c>
      <c r="J5" s="3"/>
      <c r="K5" s="3">
        <v>234550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9758656</v>
      </c>
      <c r="E6" s="14">
        <f>+E27+E34</f>
        <v>8813656</v>
      </c>
      <c r="F6" s="14">
        <f t="shared" ref="F6:V6" si="1">+F27+F34</f>
        <v>0</v>
      </c>
      <c r="G6" s="14">
        <f t="shared" si="1"/>
        <v>30000</v>
      </c>
      <c r="H6" s="14">
        <f>+H27+H34</f>
        <v>0</v>
      </c>
      <c r="I6" s="14">
        <f t="shared" ref="I6" si="2">+I27+I34</f>
        <v>850000</v>
      </c>
      <c r="J6" s="14">
        <f t="shared" si="1"/>
        <v>0</v>
      </c>
      <c r="K6" s="14">
        <f t="shared" si="1"/>
        <v>65000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5"/>
      <c r="C7" s="96" t="s">
        <v>345</v>
      </c>
      <c r="D7" s="70">
        <f t="shared" si="0"/>
        <v>-2885000</v>
      </c>
      <c r="E7" s="258"/>
      <c r="F7" s="258"/>
      <c r="G7" s="258"/>
      <c r="H7" s="258"/>
      <c r="I7" s="258">
        <v>-2885000</v>
      </c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10808206</v>
      </c>
      <c r="E8" s="14">
        <f>+E5+E6+E7</f>
        <v>8813656</v>
      </c>
      <c r="F8" s="14">
        <f t="shared" ref="F8:V8" si="3">+F5+F6+F7</f>
        <v>0</v>
      </c>
      <c r="G8" s="14">
        <f t="shared" si="3"/>
        <v>30000</v>
      </c>
      <c r="H8" s="14">
        <f>+H5+H6+H7</f>
        <v>0</v>
      </c>
      <c r="I8" s="14">
        <f t="shared" ref="I8" si="4">+I5+I6+I7</f>
        <v>1665000</v>
      </c>
      <c r="J8" s="14">
        <f t="shared" si="3"/>
        <v>0</v>
      </c>
      <c r="K8" s="14">
        <f t="shared" si="3"/>
        <v>299550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10808206</v>
      </c>
      <c r="E9" s="134">
        <f>+'PLAN RASHODA I IZDATAKA'!E3</f>
        <v>8813656</v>
      </c>
      <c r="F9" s="134">
        <f>+'PLAN RASHODA I IZDATAKA'!F3</f>
        <v>0</v>
      </c>
      <c r="G9" s="134">
        <f>+'PLAN RASHODA I IZDATAKA'!G3</f>
        <v>30000</v>
      </c>
      <c r="H9" s="134">
        <f>+'PLAN RASHODA I IZDATAKA'!H3</f>
        <v>0</v>
      </c>
      <c r="I9" s="134">
        <f>+'PLAN RASHODA I IZDATAKA'!I3</f>
        <v>1665000</v>
      </c>
      <c r="J9" s="134">
        <f>+'PLAN RASHODA I IZDATAKA'!J3</f>
        <v>0</v>
      </c>
      <c r="K9" s="134">
        <f>+'PLAN RASHODA I IZDATAKA'!K3</f>
        <v>299550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5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65000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65000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5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850000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850000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30000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30000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8813656</v>
      </c>
      <c r="E24" s="186">
        <f>SUMIFS('Plan prihoda za unos u SAP'!$G$3:$G$501,'Plan prihoda za unos u SAP'!$C$3:$C$501,"=11",'Plan prihoda za unos u SAP'!$K$3:$K$501,"=671")</f>
        <v>8813656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9758656</v>
      </c>
      <c r="E27" s="4">
        <f>SUM(E11:E26)</f>
        <v>8813656</v>
      </c>
      <c r="F27" s="4">
        <f t="shared" ref="F27:W27" si="7">SUM(F11:F26)</f>
        <v>0</v>
      </c>
      <c r="G27" s="4">
        <f t="shared" si="7"/>
        <v>30000</v>
      </c>
      <c r="H27" s="4">
        <f t="shared" si="7"/>
        <v>0</v>
      </c>
      <c r="I27" s="4">
        <f t="shared" si="7"/>
        <v>850000</v>
      </c>
      <c r="J27" s="4">
        <f t="shared" si="7"/>
        <v>0</v>
      </c>
      <c r="K27" s="4">
        <f t="shared" si="7"/>
        <v>65000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6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4" t="s">
        <v>309</v>
      </c>
      <c r="C41" s="254"/>
      <c r="D41" s="70">
        <f t="shared" si="0"/>
        <v>9758656</v>
      </c>
      <c r="E41" s="71">
        <f>+E40+E34+E27</f>
        <v>8813656</v>
      </c>
      <c r="F41" s="71">
        <f>+F40+F34+F27</f>
        <v>0</v>
      </c>
      <c r="G41" s="71">
        <f t="shared" ref="G41:W41" si="11">+G40+G34+G27</f>
        <v>30000</v>
      </c>
      <c r="H41" s="71">
        <f t="shared" si="11"/>
        <v>0</v>
      </c>
      <c r="I41" s="71">
        <f t="shared" si="11"/>
        <v>850000</v>
      </c>
      <c r="J41" s="71">
        <f t="shared" si="11"/>
        <v>0</v>
      </c>
      <c r="K41" s="71">
        <f t="shared" si="11"/>
        <v>65000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2" t="s">
        <v>263</v>
      </c>
      <c r="C43" s="273"/>
      <c r="D43" s="274" t="s">
        <v>1915</v>
      </c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6"/>
      <c r="V43" s="206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4" t="s">
        <v>266</v>
      </c>
      <c r="E44" s="207" t="s">
        <v>346</v>
      </c>
      <c r="F44" s="207" t="s">
        <v>318</v>
      </c>
      <c r="G44" s="208" t="s">
        <v>19</v>
      </c>
      <c r="H44" s="208" t="s">
        <v>1374</v>
      </c>
      <c r="I44" s="208" t="s">
        <v>20</v>
      </c>
      <c r="J44" s="208" t="s">
        <v>267</v>
      </c>
      <c r="K44" s="208" t="s">
        <v>268</v>
      </c>
      <c r="L44" s="208" t="s">
        <v>1375</v>
      </c>
      <c r="M44" s="208" t="s">
        <v>269</v>
      </c>
      <c r="N44" s="208" t="s">
        <v>270</v>
      </c>
      <c r="O44" s="208" t="s">
        <v>271</v>
      </c>
      <c r="P44" s="208" t="s">
        <v>1376</v>
      </c>
      <c r="Q44" s="208" t="s">
        <v>1377</v>
      </c>
      <c r="R44" s="208" t="s">
        <v>1909</v>
      </c>
      <c r="S44" s="93" t="s">
        <v>3493</v>
      </c>
      <c r="T44" s="208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2885000</v>
      </c>
      <c r="E45" s="185">
        <f>-E7</f>
        <v>0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2885000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9792113</v>
      </c>
      <c r="E46" s="14">
        <f t="shared" ref="E46:W46" si="14">+E67+E74</f>
        <v>8837113</v>
      </c>
      <c r="F46" s="14">
        <f t="shared" si="14"/>
        <v>0</v>
      </c>
      <c r="G46" s="14">
        <f t="shared" si="14"/>
        <v>40000</v>
      </c>
      <c r="H46" s="14">
        <f>+H67+H74</f>
        <v>0</v>
      </c>
      <c r="I46" s="14">
        <f t="shared" si="14"/>
        <v>850000</v>
      </c>
      <c r="J46" s="14">
        <f t="shared" si="14"/>
        <v>0</v>
      </c>
      <c r="K46" s="14">
        <f t="shared" si="14"/>
        <v>65000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-1870000</v>
      </c>
      <c r="E47" s="113"/>
      <c r="F47" s="113"/>
      <c r="G47" s="113"/>
      <c r="H47" s="113"/>
      <c r="I47" s="113">
        <v>-1870000</v>
      </c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10807113</v>
      </c>
      <c r="E48" s="14">
        <f>+E45+E46+E47</f>
        <v>8837113</v>
      </c>
      <c r="F48" s="14">
        <f t="shared" ref="F48:W48" si="15">+F45+F46+F47</f>
        <v>0</v>
      </c>
      <c r="G48" s="14">
        <f t="shared" si="15"/>
        <v>40000</v>
      </c>
      <c r="H48" s="14">
        <f>+H45+H46+H47</f>
        <v>0</v>
      </c>
      <c r="I48" s="14">
        <f t="shared" si="15"/>
        <v>1865000</v>
      </c>
      <c r="J48" s="14">
        <f t="shared" si="15"/>
        <v>0</v>
      </c>
      <c r="K48" s="14">
        <f t="shared" si="15"/>
        <v>65000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10807113</v>
      </c>
      <c r="E49" s="134">
        <f>+'PLAN RASHODA I IZDATAKA'!E71</f>
        <v>8837113</v>
      </c>
      <c r="F49" s="134">
        <f>+'PLAN RASHODA I IZDATAKA'!F71</f>
        <v>0</v>
      </c>
      <c r="G49" s="134">
        <f>+'PLAN RASHODA I IZDATAKA'!G71</f>
        <v>40000</v>
      </c>
      <c r="H49" s="134">
        <f>+'PLAN RASHODA I IZDATAKA'!H71</f>
        <v>0</v>
      </c>
      <c r="I49" s="134">
        <f>+'PLAN RASHODA I IZDATAKA'!I71</f>
        <v>1865000</v>
      </c>
      <c r="J49" s="134">
        <f>+'PLAN RASHODA I IZDATAKA'!J71</f>
        <v>0</v>
      </c>
      <c r="K49" s="134">
        <f>+'PLAN RASHODA I IZDATAKA'!K71</f>
        <v>65000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5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65000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65000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5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850000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850000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40000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40000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8837113</v>
      </c>
      <c r="E64" s="186">
        <f>SUMIFS('Plan prihoda za unos u SAP'!$H$3:$H$501,'Plan prihoda za unos u SAP'!$C$3:$C$501,"=11",'Plan prihoda za unos u SAP'!$K$3:$K$501,"=671")</f>
        <v>8837113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9792113</v>
      </c>
      <c r="E67" s="4">
        <f>SUM(E51:E66)</f>
        <v>8837113</v>
      </c>
      <c r="F67" s="4">
        <f t="shared" ref="F67:W67" si="17">SUM(F51:F66)</f>
        <v>0</v>
      </c>
      <c r="G67" s="4">
        <f t="shared" si="17"/>
        <v>40000</v>
      </c>
      <c r="H67" s="4">
        <f t="shared" si="17"/>
        <v>0</v>
      </c>
      <c r="I67" s="4">
        <f t="shared" si="17"/>
        <v>850000</v>
      </c>
      <c r="J67" s="4">
        <f>SUM(J51:J66)</f>
        <v>0</v>
      </c>
      <c r="K67" s="4">
        <f t="shared" si="17"/>
        <v>65000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4" t="s">
        <v>309</v>
      </c>
      <c r="C81" s="254"/>
      <c r="D81" s="71">
        <f t="shared" si="12"/>
        <v>9792113</v>
      </c>
      <c r="E81" s="71">
        <f>+E80+E74+E67</f>
        <v>8837113</v>
      </c>
      <c r="F81" s="71">
        <f>+F80+F74+F67</f>
        <v>0</v>
      </c>
      <c r="G81" s="71">
        <f t="shared" ref="G81:W81" si="21">+G80+G74+G67</f>
        <v>40000</v>
      </c>
      <c r="H81" s="71">
        <f t="shared" si="21"/>
        <v>0</v>
      </c>
      <c r="I81" s="71">
        <f t="shared" si="21"/>
        <v>850000</v>
      </c>
      <c r="J81" s="71">
        <f t="shared" si="21"/>
        <v>0</v>
      </c>
      <c r="K81" s="71">
        <f t="shared" si="21"/>
        <v>65000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2" t="s">
        <v>263</v>
      </c>
      <c r="C83" s="273"/>
      <c r="D83" s="274" t="s">
        <v>1989</v>
      </c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6"/>
      <c r="V83" s="206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4" t="s">
        <v>266</v>
      </c>
      <c r="E84" s="239" t="s">
        <v>346</v>
      </c>
      <c r="F84" s="239" t="s">
        <v>318</v>
      </c>
      <c r="G84" s="240" t="s">
        <v>19</v>
      </c>
      <c r="H84" s="240" t="s">
        <v>1374</v>
      </c>
      <c r="I84" s="240" t="s">
        <v>20</v>
      </c>
      <c r="J84" s="240" t="s">
        <v>267</v>
      </c>
      <c r="K84" s="240" t="s">
        <v>268</v>
      </c>
      <c r="L84" s="240" t="s">
        <v>1375</v>
      </c>
      <c r="M84" s="240" t="s">
        <v>269</v>
      </c>
      <c r="N84" s="240" t="s">
        <v>270</v>
      </c>
      <c r="O84" s="240" t="s">
        <v>271</v>
      </c>
      <c r="P84" s="240" t="s">
        <v>1376</v>
      </c>
      <c r="Q84" s="240" t="s">
        <v>1377</v>
      </c>
      <c r="R84" s="240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1870000</v>
      </c>
      <c r="E85" s="185">
        <f>-E47</f>
        <v>0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1870000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9838187</v>
      </c>
      <c r="E86" s="14">
        <f t="shared" ref="E86:W86" si="24">+E107+E114</f>
        <v>8873187</v>
      </c>
      <c r="F86" s="14">
        <f t="shared" si="24"/>
        <v>0</v>
      </c>
      <c r="G86" s="14">
        <f t="shared" si="24"/>
        <v>50000</v>
      </c>
      <c r="H86" s="14">
        <f>+H107+H114</f>
        <v>0</v>
      </c>
      <c r="I86" s="14">
        <f t="shared" si="24"/>
        <v>850000</v>
      </c>
      <c r="J86" s="14">
        <f t="shared" si="24"/>
        <v>0</v>
      </c>
      <c r="K86" s="14">
        <f t="shared" si="24"/>
        <v>65000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-855000</v>
      </c>
      <c r="E87" s="113"/>
      <c r="F87" s="113"/>
      <c r="G87" s="113"/>
      <c r="H87" s="113"/>
      <c r="I87" s="113">
        <v>-855000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10853187</v>
      </c>
      <c r="E88" s="14">
        <f>+E85+E86+E87</f>
        <v>8873187</v>
      </c>
      <c r="F88" s="14">
        <f t="shared" ref="F88:W88" si="25">+F85+F86+F87</f>
        <v>0</v>
      </c>
      <c r="G88" s="14">
        <f t="shared" si="25"/>
        <v>50000</v>
      </c>
      <c r="H88" s="14">
        <f>+H85+H86+H87</f>
        <v>0</v>
      </c>
      <c r="I88" s="14">
        <f t="shared" si="25"/>
        <v>1865000</v>
      </c>
      <c r="J88" s="14">
        <f t="shared" si="25"/>
        <v>0</v>
      </c>
      <c r="K88" s="14">
        <f t="shared" si="25"/>
        <v>65000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10853187</v>
      </c>
      <c r="E89" s="134">
        <f>+'PLAN RASHODA I IZDATAKA'!E91</f>
        <v>8873187</v>
      </c>
      <c r="F89" s="134">
        <f>+'PLAN RASHODA I IZDATAKA'!F91</f>
        <v>0</v>
      </c>
      <c r="G89" s="134">
        <f>+'PLAN RASHODA I IZDATAKA'!G91</f>
        <v>50000</v>
      </c>
      <c r="H89" s="134">
        <f>+'PLAN RASHODA I IZDATAKA'!H91</f>
        <v>0</v>
      </c>
      <c r="I89" s="134">
        <f>+'PLAN RASHODA I IZDATAKA'!I91</f>
        <v>1865000</v>
      </c>
      <c r="J89" s="134">
        <f>+'PLAN RASHODA I IZDATAKA'!J91</f>
        <v>0</v>
      </c>
      <c r="K89" s="134">
        <f>+'PLAN RASHODA I IZDATAKA'!K91</f>
        <v>65000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5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65000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65000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5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850000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850000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50000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50000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8873187</v>
      </c>
      <c r="E104" s="186">
        <f>SUMIFS('Plan prihoda za unos u SAP'!$I$3:$I$501,'Plan prihoda za unos u SAP'!$C$3:$C$501,"=11",'Plan prihoda za unos u SAP'!$K$3:$K$501,"=671")</f>
        <v>8873187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9838187</v>
      </c>
      <c r="E107" s="4">
        <f>SUM(E91:E106)</f>
        <v>8873187</v>
      </c>
      <c r="F107" s="4">
        <f t="shared" ref="F107:W107" si="27">SUM(F91:F106)</f>
        <v>0</v>
      </c>
      <c r="G107" s="4">
        <f t="shared" si="27"/>
        <v>50000</v>
      </c>
      <c r="H107" s="4">
        <f t="shared" si="27"/>
        <v>0</v>
      </c>
      <c r="I107" s="4">
        <f t="shared" si="27"/>
        <v>850000</v>
      </c>
      <c r="J107" s="4">
        <f t="shared" si="27"/>
        <v>0</v>
      </c>
      <c r="K107" s="4">
        <f t="shared" si="27"/>
        <v>65000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6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4" t="s">
        <v>309</v>
      </c>
      <c r="C121" s="254"/>
      <c r="D121" s="71">
        <f t="shared" si="22"/>
        <v>9838187</v>
      </c>
      <c r="E121" s="71">
        <f>+E120+E114+E107</f>
        <v>8873187</v>
      </c>
      <c r="F121" s="71">
        <f>+F120+F114+F107</f>
        <v>0</v>
      </c>
      <c r="G121" s="71">
        <f t="shared" ref="G121:W121" si="31">+G120+G114+G107</f>
        <v>50000</v>
      </c>
      <c r="H121" s="71">
        <f t="shared" si="31"/>
        <v>0</v>
      </c>
      <c r="I121" s="71">
        <f t="shared" si="31"/>
        <v>850000</v>
      </c>
      <c r="J121" s="71">
        <f t="shared" si="31"/>
        <v>0</v>
      </c>
      <c r="K121" s="71">
        <f t="shared" si="31"/>
        <v>65000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7" t="s">
        <v>3492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10808206</v>
      </c>
      <c r="E3" s="121">
        <f t="shared" ref="E3:W3" si="1">E4+E38+E58</f>
        <v>8813656</v>
      </c>
      <c r="F3" s="121">
        <f t="shared" si="1"/>
        <v>0</v>
      </c>
      <c r="G3" s="121">
        <f t="shared" si="1"/>
        <v>30000</v>
      </c>
      <c r="H3" s="121">
        <f>H4+H38+H58</f>
        <v>0</v>
      </c>
      <c r="I3" s="121">
        <f t="shared" si="1"/>
        <v>1665000</v>
      </c>
      <c r="J3" s="121">
        <f t="shared" si="1"/>
        <v>0</v>
      </c>
      <c r="K3" s="121">
        <f t="shared" si="1"/>
        <v>299550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10263206</v>
      </c>
      <c r="E4" s="125">
        <f>E5+E9+E15+E19+E23+E30+E33</f>
        <v>8813656</v>
      </c>
      <c r="F4" s="125">
        <f t="shared" ref="F4:W4" si="2">F5+F9+F15+F19+F23+F30+F33</f>
        <v>0</v>
      </c>
      <c r="G4" s="125">
        <f t="shared" si="2"/>
        <v>0</v>
      </c>
      <c r="H4" s="125">
        <f>H5+H9+H15+H19+H23+H30+H33</f>
        <v>0</v>
      </c>
      <c r="I4" s="125">
        <f t="shared" si="2"/>
        <v>1215000</v>
      </c>
      <c r="J4" s="125">
        <f t="shared" si="2"/>
        <v>0</v>
      </c>
      <c r="K4" s="125">
        <f t="shared" si="2"/>
        <v>234550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7621924</v>
      </c>
      <c r="E5" s="12">
        <f>SUM(E6:E8)</f>
        <v>7551924</v>
      </c>
      <c r="F5" s="12">
        <f t="shared" ref="F5:W5" si="3">SUM(F6:F8)</f>
        <v>0</v>
      </c>
      <c r="G5" s="12">
        <f t="shared" si="3"/>
        <v>0</v>
      </c>
      <c r="H5" s="12">
        <f>SUM(H6:H8)</f>
        <v>0</v>
      </c>
      <c r="I5" s="12">
        <f t="shared" si="3"/>
        <v>70000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6454000</v>
      </c>
      <c r="E6" s="138">
        <f>SUMIFS('Plan rashoda za unos u SAP'!$I$3:$I$501,'Plan rashoda za unos u SAP'!$C$3:$C$501,"=11",'Plan rashoda za unos u SAP'!$M$3:$M$501,"=311")+SUMIFS('ANALITIKA EU PROJEKATA'!$G$3:$G$34,'ANALITIKA EU PROJEKATA'!$A$3:$A$34,"=11",'ANALITIKA EU PROJEKATA'!$P$3:$P$34,"=311")</f>
        <v>6394000</v>
      </c>
      <c r="F6" s="138">
        <f>SUMIFS('Plan rashoda za unos u SAP'!$I$3:$I$501,'Plan rashoda za unos u SAP'!$C$3:$C$501,"=12",'Plan rashoda za unos u SAP'!$M$3:$M$501,"=311")+SUMIFS('ANALITIKA EU PROJEKATA'!$G$3:$G$34,'ANALITIKA EU PROJEKATA'!$A$3:$A$34,"=12",'ANALITIKA EU PROJEKATA'!$P$3:$P$34,"=311")</f>
        <v>0</v>
      </c>
      <c r="G6" s="138">
        <f>SUMIFS('Plan rashoda za unos u SAP'!$I$3:$I$501,'Plan rashoda za unos u SAP'!$C$3:$C$501,"=31",'Plan rashoda za unos u SAP'!$M$3:$M$501,"=311")+SUMIFS('ANALITIKA EU PROJEKATA'!$G$3:$G$34,'ANALITIKA EU PROJEKATA'!$A$3:$A$34,"=31",'ANALITIKA EU PROJEKATA'!$P$3:$P$34,"=311")</f>
        <v>0</v>
      </c>
      <c r="H6" s="138">
        <f>SUMIFS('Plan rashoda za unos u SAP'!$I$3:$I$501,'Plan rashoda za unos u SAP'!$C$3:$C$501,"=41",'Plan rashoda za unos u SAP'!$M$3:$M$501,"=311")+SUMIFS('ANALITIKA EU PROJEKATA'!$G$3:$G$34,'ANALITIKA EU PROJEKATA'!$A$3:$A$34,"=41",'ANALITIKA EU PROJEKATA'!$P$3:$P$34,"=311")</f>
        <v>0</v>
      </c>
      <c r="I6" s="138">
        <f>SUMIFS('Plan rashoda za unos u SAP'!$I$3:$I$501,'Plan rashoda za unos u SAP'!$C$3:$C$501,"=43",'Plan rashoda za unos u SAP'!$M$3:$M$501,"=311")+SUMIFS('ANALITIKA EU PROJEKATA'!$G$3:$G$34,'ANALITIKA EU PROJEKATA'!$A$3:$A$34,"=43",'ANALITIKA EU PROJEKATA'!$P$3:$P$34,"=311")</f>
        <v>60000</v>
      </c>
      <c r="J6" s="138">
        <f>SUMIFS('Plan rashoda za unos u SAP'!$I$3:$I$501,'Plan rashoda za unos u SAP'!$C$3:$C$501,"=51",'Plan rashoda za unos u SAP'!$M$3:$M$501,"=311")+SUMIFS('ANALITIKA EU PROJEKATA'!$G$3:$G$34,'ANALITIKA EU PROJEKATA'!$A$3:$A$34,"=51",'ANALITIKA EU PROJEKATA'!$P$3:$P$34,"=311")</f>
        <v>0</v>
      </c>
      <c r="K6" s="138">
        <f>SUMIFS('Plan rashoda za unos u SAP'!$I$3:$I$501,'Plan rashoda za unos u SAP'!$C$3:$C$501,"=52",'Plan rashoda za unos u SAP'!$M$3:$M$501,"=311")+SUMIFS('ANALITIKA EU PROJEKATA'!$G$3:$G$34,'ANALITIKA EU PROJEKATA'!$A$3:$A$34,"=52",'ANALITIKA EU PROJEKATA'!$P$3:$P$34,"=311")</f>
        <v>0</v>
      </c>
      <c r="L6" s="138">
        <f>SUMIFS('Plan rashoda za unos u SAP'!$I$3:$I$501,'Plan rashoda za unos u SAP'!$C$3:$C$501,"=552",'Plan rashoda za unos u SAP'!$M$3:$M$501,"=311")+SUMIFS('ANALITIKA EU PROJEKATA'!$G$3:$G$34,'ANALITIKA EU PROJEKATA'!$A$3:$A$34,"=552",'ANALITIKA EU PROJEKATA'!$P$3:$P$34,"=311")</f>
        <v>0</v>
      </c>
      <c r="M6" s="138">
        <f>SUMIFS('Plan rashoda za unos u SAP'!$I$3:$I$501,'Plan rashoda za unos u SAP'!$C$3:$C$501,"=559",'Plan rashoda za unos u SAP'!$M$3:$M$501,"=311")+SUMIFS('ANALITIKA EU PROJEKATA'!$G$3:$G$34,'ANALITIKA EU PROJEKATA'!$A$3:$A$34,"=559",'ANALITIKA EU PROJEKATA'!$P$3:$P$34,"=311")</f>
        <v>0</v>
      </c>
      <c r="N6" s="138">
        <f>SUMIFS('Plan rashoda za unos u SAP'!$I$3:$I$501,'Plan rashoda za unos u SAP'!$C$3:$C$501,"=561",'Plan rashoda za unos u SAP'!$M$3:$M$501,"=311")+SUMIFS('ANALITIKA EU PROJEKATA'!$G$3:$G$34,'ANALITIKA EU PROJEKATA'!$A$3:$A$34,"=561",'ANALITIKA EU PROJEKATA'!$P$3:$P$34,"=311")</f>
        <v>0</v>
      </c>
      <c r="O6" s="138">
        <f>SUMIFS('Plan rashoda za unos u SAP'!$I$3:$I$501,'Plan rashoda za unos u SAP'!$C$3:$C$501,"=563",'Plan rashoda za unos u SAP'!$M$3:$M$501,"=311")+SUMIFS('ANALITIKA EU PROJEKATA'!$G$3:$G$34,'ANALITIKA EU PROJEKATA'!$A$3:$A$34,"=563",'ANALITIKA EU PROJEKATA'!$P$3:$P$34,"=311")</f>
        <v>0</v>
      </c>
      <c r="P6" s="138">
        <f>SUMIFS('Plan rashoda za unos u SAP'!$I$3:$I$501,'Plan rashoda za unos u SAP'!$C$3:$C$501,"=573",'Plan rashoda za unos u SAP'!$M$3:$M$501,"=311")+SUMIFS('ANALITIKA EU PROJEKATA'!$G$3:$G$34,'ANALITIKA EU PROJEKATA'!$A$3:$A$34,"=573",'ANALITIKA EU PROJEKATA'!$P$3:$P$34,"=311")</f>
        <v>0</v>
      </c>
      <c r="Q6" s="138">
        <f>SUMIFS('Plan rashoda za unos u SAP'!$I$3:$I$501,'Plan rashoda za unos u SAP'!$C$3:$C$501,"=575",'Plan rashoda za unos u SAP'!$M$3:$M$501,"=311")+SUMIFS('ANALITIKA EU PROJEKATA'!$G$3:$G$34,'ANALITIKA EU PROJEKATA'!$A$3:$A$34,"=575",'ANALITIKA EU PROJEKATA'!$P$3:$P$34,"=311")</f>
        <v>0</v>
      </c>
      <c r="R6" s="138">
        <f>SUMIFS('Plan rashoda za unos u SAP'!$I$3:$I$501,'Plan rashoda za unos u SAP'!$C$3:$C$501,"=576",'Plan rashoda za unos u SAP'!$M$3:$M$501,"=311")+SUMIFS('ANALITIKA EU PROJEKATA'!$G$3:$G$34,'ANALITIKA EU PROJEKATA'!$A$3:$A$34,"=576",'ANALITIKA EU PROJEKATA'!$P$3:$P$34,"=311")</f>
        <v>0</v>
      </c>
      <c r="S6" s="138">
        <f>SUMIFS('Plan rashoda za unos u SAP'!$I$3:$I$501,'Plan rashoda za unos u SAP'!$C$3:$C$501,"=581",'Plan rashoda za unos u SAP'!$M$3:$M$501,"=311")+SUMIFS('ANALITIKA EU PROJEKATA'!$G$3:$G$34,'ANALITIKA EU PROJEKATA'!$A$3:$A$34,"=581",'ANALITIKA EU PROJEKATA'!$P$3:$P$34,"=311")</f>
        <v>0</v>
      </c>
      <c r="T6" s="138">
        <f>SUMIFS('Plan rashoda za unos u SAP'!$I$3:$I$501,'Plan rashoda za unos u SAP'!$C$3:$C$501,"=61",'Plan rashoda za unos u SAP'!$M$3:$M$501,"=311")+SUMIFS('ANALITIKA EU PROJEKATA'!$G$3:$G$34,'ANALITIKA EU PROJEKATA'!$A$3:$A$34,"=61",'ANALITIKA EU PROJEKATA'!$P$3:$P$34,"=311")</f>
        <v>0</v>
      </c>
      <c r="U6" s="138">
        <f>SUMIFS('Plan rashoda za unos u SAP'!$I$3:$I$501,'Plan rashoda za unos u SAP'!$C$3:$C$501,"=63",'Plan rashoda za unos u SAP'!$M$3:$M$501,"=311")+SUMIFS('ANALITIKA EU PROJEKATA'!$G$3:$G$34,'ANALITIKA EU PROJEKATA'!$A$3:$A$34,"=63",'ANALITIKA EU PROJEKATA'!$P$3:$P$34,"=311")</f>
        <v>0</v>
      </c>
      <c r="V6" s="138">
        <f>SUMIFS('Plan rashoda za unos u SAP'!$I$3:$I$501,'Plan rashoda za unos u SAP'!$C$3:$C$501,"=71",'Plan rashoda za unos u SAP'!$M$3:$M$501,"=311")+SUMIFS('ANALITIKA EU PROJEKATA'!$G$3:$G$34,'ANALITIKA EU PROJEKATA'!$A$3:$A$34,"=71",'ANALITIKA EU PROJEKATA'!$P$3:$P$34,"=311")</f>
        <v>0</v>
      </c>
      <c r="W6" s="138">
        <f>SUMIFS('Plan rashoda za unos u SAP'!$I$3:$I$501,'Plan rashoda za unos u SAP'!$C$3:$C$501,"=81",'Plan rashoda za unos u SAP'!$M$3:$M$501,"=311")+SUMIFS('ANALITIKA EU PROJEKATA'!$G$3:$G$34,'ANALITIKA EU PROJEKATA'!$A$3:$A$34,"=81",'ANALITIKA EU PROJEKATA'!$P$3:$P$34,"=311")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119924</v>
      </c>
      <c r="E7" s="138">
        <f>SUMIFS('Plan rashoda za unos u SAP'!$I$3:$I$501,'Plan rashoda za unos u SAP'!$C$3:$C$501,"=11",'Plan rashoda za unos u SAP'!$M$3:$M$501,"=312")+SUMIFS('ANALITIKA EU PROJEKATA'!$G$3:$G$34,'ANALITIKA EU PROJEKATA'!$A$3:$A$34,"=11",'ANALITIKA EU PROJEKATA'!$P$3:$P$34,"=312")</f>
        <v>109924</v>
      </c>
      <c r="F7" s="138">
        <f>SUMIFS('Plan rashoda za unos u SAP'!$I$3:$I$501,'Plan rashoda za unos u SAP'!$C$3:$C$501,"=12",'Plan rashoda za unos u SAP'!$M$3:$M$501,"=312")+SUMIFS('ANALITIKA EU PROJEKATA'!$G$3:$G$34,'ANALITIKA EU PROJEKATA'!$A$3:$A$34,"=12",'ANALITIKA EU PROJEKATA'!$P$3:$P$34,"=312")</f>
        <v>0</v>
      </c>
      <c r="G7" s="138">
        <f>SUMIFS('Plan rashoda za unos u SAP'!$I$3:$I$501,'Plan rashoda za unos u SAP'!$C$3:$C$501,"=31",'Plan rashoda za unos u SAP'!$M$3:$M$501,"=312")+SUMIFS('ANALITIKA EU PROJEKATA'!$G$3:$G$34,'ANALITIKA EU PROJEKATA'!$A$3:$A$34,"=31",'ANALITIKA EU PROJEKATA'!$P$3:$P$34,"=312")</f>
        <v>0</v>
      </c>
      <c r="H7" s="138">
        <f>SUMIFS('Plan rashoda za unos u SAP'!$I$3:$I$501,'Plan rashoda za unos u SAP'!$C$3:$C$501,"=41",'Plan rashoda za unos u SAP'!$M$3:$M$501,"=312")+SUMIFS('ANALITIKA EU PROJEKATA'!$G$3:$G$34,'ANALITIKA EU PROJEKATA'!$A$3:$A$34,"=41",'ANALITIKA EU PROJEKATA'!$P$3:$P$34,"=312")</f>
        <v>0</v>
      </c>
      <c r="I7" s="138">
        <f>SUMIFS('Plan rashoda za unos u SAP'!$I$3:$I$501,'Plan rashoda za unos u SAP'!$C$3:$C$501,"=43",'Plan rashoda za unos u SAP'!$M$3:$M$501,"=312")+SUMIFS('ANALITIKA EU PROJEKATA'!$G$3:$G$34,'ANALITIKA EU PROJEKATA'!$A$3:$A$34,"=43",'ANALITIKA EU PROJEKATA'!$P$3:$P$34,"=312")</f>
        <v>10000</v>
      </c>
      <c r="J7" s="138">
        <f>SUMIFS('Plan rashoda za unos u SAP'!$I$3:$I$501,'Plan rashoda za unos u SAP'!$C$3:$C$501,"=51",'Plan rashoda za unos u SAP'!$M$3:$M$501,"=312")+SUMIFS('ANALITIKA EU PROJEKATA'!$G$3:$G$34,'ANALITIKA EU PROJEKATA'!$A$3:$A$34,"=51",'ANALITIKA EU PROJEKATA'!$P$3:$P$34,"=312")</f>
        <v>0</v>
      </c>
      <c r="K7" s="138">
        <f>SUMIFS('Plan rashoda za unos u SAP'!$I$3:$I$501,'Plan rashoda za unos u SAP'!$C$3:$C$501,"=52",'Plan rashoda za unos u SAP'!$M$3:$M$501,"=312")+SUMIFS('ANALITIKA EU PROJEKATA'!$G$3:$G$34,'ANALITIKA EU PROJEKATA'!$A$3:$A$34,"=52",'ANALITIKA EU PROJEKATA'!$P$3:$P$34,"=312")</f>
        <v>0</v>
      </c>
      <c r="L7" s="138">
        <f>SUMIFS('Plan rashoda za unos u SAP'!$I$3:$I$501,'Plan rashoda za unos u SAP'!$C$3:$C$501,"=552",'Plan rashoda za unos u SAP'!$M$3:$M$501,"=312")+SUMIFS('ANALITIKA EU PROJEKATA'!$G$3:$G$34,'ANALITIKA EU PROJEKATA'!$A$3:$A$34,"=552",'ANALITIKA EU PROJEKATA'!$P$3:$P$34,"=312")</f>
        <v>0</v>
      </c>
      <c r="M7" s="138">
        <f>SUMIFS('Plan rashoda za unos u SAP'!$I$3:$I$501,'Plan rashoda za unos u SAP'!$C$3:$C$501,"=559",'Plan rashoda za unos u SAP'!$M$3:$M$501,"=312")+SUMIFS('ANALITIKA EU PROJEKATA'!$G$3:$G$34,'ANALITIKA EU PROJEKATA'!$A$3:$A$34,"=559",'ANALITIKA EU PROJEKATA'!$P$3:$P$34,"=312")</f>
        <v>0</v>
      </c>
      <c r="N7" s="138">
        <f>SUMIFS('Plan rashoda za unos u SAP'!$I$3:$I$501,'Plan rashoda za unos u SAP'!$C$3:$C$501,"=561",'Plan rashoda za unos u SAP'!$M$3:$M$501,"=312")+SUMIFS('ANALITIKA EU PROJEKATA'!$G$3:$G$34,'ANALITIKA EU PROJEKATA'!$A$3:$A$34,"=561",'ANALITIKA EU PROJEKATA'!$P$3:$P$34,"=312")</f>
        <v>0</v>
      </c>
      <c r="O7" s="138">
        <f>SUMIFS('Plan rashoda za unos u SAP'!$I$3:$I$501,'Plan rashoda za unos u SAP'!$C$3:$C$501,"=563",'Plan rashoda za unos u SAP'!$M$3:$M$501,"=312")+SUMIFS('ANALITIKA EU PROJEKATA'!$G$3:$G$34,'ANALITIKA EU PROJEKATA'!$A$3:$A$34,"=563",'ANALITIKA EU PROJEKATA'!$P$3:$P$34,"=312")</f>
        <v>0</v>
      </c>
      <c r="P7" s="138">
        <f>SUMIFS('Plan rashoda za unos u SAP'!$I$3:$I$501,'Plan rashoda za unos u SAP'!$C$3:$C$501,"=573",'Plan rashoda za unos u SAP'!$M$3:$M$501,"=312")+SUMIFS('ANALITIKA EU PROJEKATA'!$G$3:$G$34,'ANALITIKA EU PROJEKATA'!$A$3:$A$34,"=573",'ANALITIKA EU PROJEKATA'!$P$3:$P$34,"=312")</f>
        <v>0</v>
      </c>
      <c r="Q7" s="138">
        <f>SUMIFS('Plan rashoda za unos u SAP'!$I$3:$I$501,'Plan rashoda za unos u SAP'!$C$3:$C$501,"=575",'Plan rashoda za unos u SAP'!$M$3:$M$501,"=312")+SUMIFS('ANALITIKA EU PROJEKATA'!$G$3:$G$34,'ANALITIKA EU PROJEKATA'!$A$3:$A$34,"=575",'ANALITIKA EU PROJEKATA'!$P$3:$P$34,"=312")</f>
        <v>0</v>
      </c>
      <c r="R7" s="138">
        <f>SUMIFS('Plan rashoda za unos u SAP'!$I$3:$I$501,'Plan rashoda za unos u SAP'!$C$3:$C$501,"=576",'Plan rashoda za unos u SAP'!$M$3:$M$501,"=312")+SUMIFS('ANALITIKA EU PROJEKATA'!$G$3:$G$34,'ANALITIKA EU PROJEKATA'!$A$3:$A$34,"=576",'ANALITIKA EU PROJEKATA'!$P$3:$P$34,"=312")</f>
        <v>0</v>
      </c>
      <c r="S7" s="138">
        <f>SUMIFS('Plan rashoda za unos u SAP'!$I$3:$I$501,'Plan rashoda za unos u SAP'!$C$3:$C$501,"=581",'Plan rashoda za unos u SAP'!$M$3:$M$501,"=312")+SUMIFS('ANALITIKA EU PROJEKATA'!$G$3:$G$34,'ANALITIKA EU PROJEKATA'!$A$3:$A$34,"=581",'ANALITIKA EU PROJEKATA'!$P$3:$P$34,"=312")</f>
        <v>0</v>
      </c>
      <c r="T7" s="138">
        <f>SUMIFS('Plan rashoda za unos u SAP'!$I$3:$I$501,'Plan rashoda za unos u SAP'!$C$3:$C$501,"=61",'Plan rashoda za unos u SAP'!$M$3:$M$501,"=312")+SUMIFS('ANALITIKA EU PROJEKATA'!$G$3:$G$34,'ANALITIKA EU PROJEKATA'!$A$3:$A$34,"=61",'ANALITIKA EU PROJEKATA'!$P$3:$P$34,"=312")</f>
        <v>0</v>
      </c>
      <c r="U7" s="138">
        <f>SUMIFS('Plan rashoda za unos u SAP'!$I$3:$I$501,'Plan rashoda za unos u SAP'!$C$3:$C$501,"=63",'Plan rashoda za unos u SAP'!$M$3:$M$501,"=312")+SUMIFS('ANALITIKA EU PROJEKATA'!$G$3:$G$34,'ANALITIKA EU PROJEKATA'!$A$3:$A$34,"=63",'ANALITIKA EU PROJEKATA'!$P$3:$P$34,"=312")</f>
        <v>0</v>
      </c>
      <c r="V7" s="138">
        <f>SUMIFS('Plan rashoda za unos u SAP'!$I$3:$I$501,'Plan rashoda za unos u SAP'!$C$3:$C$501,"=71",'Plan rashoda za unos u SAP'!$M$3:$M$501,"=312")+SUMIFS('ANALITIKA EU PROJEKATA'!$G$3:$G$34,'ANALITIKA EU PROJEKATA'!$A$3:$A$34,"=71",'ANALITIKA EU PROJEKATA'!$P$3:$P$34,"=312")</f>
        <v>0</v>
      </c>
      <c r="W7" s="138">
        <f>SUMIFS('Plan rashoda za unos u SAP'!$I$3:$I$501,'Plan rashoda za unos u SAP'!$C$3:$C$501,"=81",'Plan rashoda za unos u SAP'!$M$3:$M$501,"=312")+SUMIFS('ANALITIKA EU PROJEKATA'!$G$3:$G$34,'ANALITIKA EU PROJEKATA'!$A$3:$A$34,"=81",'ANALITIKA EU PROJEKATA'!$P$3:$P$34,"=312")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1048000</v>
      </c>
      <c r="E8" s="138">
        <f>SUMIFS('Plan rashoda za unos u SAP'!$I$3:$I$501,'Plan rashoda za unos u SAP'!$C$3:$C$501,"=11",'Plan rashoda za unos u SAP'!$M$3:$M$501,"=313")+SUMIFS('ANALITIKA EU PROJEKATA'!$G$3:$G$34,'ANALITIKA EU PROJEKATA'!$A$3:$A$34,"=11",'ANALITIKA EU PROJEKATA'!$P$3:$P$34,"=313")</f>
        <v>1048000</v>
      </c>
      <c r="F8" s="138">
        <f>SUMIFS('Plan rashoda za unos u SAP'!$I$3:$I$501,'Plan rashoda za unos u SAP'!$C$3:$C$501,"=12",'Plan rashoda za unos u SAP'!$M$3:$M$501,"=313")+SUMIFS('ANALITIKA EU PROJEKATA'!$G$3:$G$34,'ANALITIKA EU PROJEKATA'!$A$3:$A$34,"=12",'ANALITIKA EU PROJEKATA'!$P$3:$P$34,"=313")</f>
        <v>0</v>
      </c>
      <c r="G8" s="138">
        <f>SUMIFS('Plan rashoda za unos u SAP'!$I$3:$I$501,'Plan rashoda za unos u SAP'!$C$3:$C$501,"=31",'Plan rashoda za unos u SAP'!$M$3:$M$501,"=313")+SUMIFS('ANALITIKA EU PROJEKATA'!$G$3:$G$34,'ANALITIKA EU PROJEKATA'!$A$3:$A$34,"=31",'ANALITIKA EU PROJEKATA'!$P$3:$P$34,"=313")</f>
        <v>0</v>
      </c>
      <c r="H8" s="138">
        <f>SUMIFS('Plan rashoda za unos u SAP'!$I$3:$I$501,'Plan rashoda za unos u SAP'!$C$3:$C$501,"=41",'Plan rashoda za unos u SAP'!$M$3:$M$501,"=313")+SUMIFS('ANALITIKA EU PROJEKATA'!$G$3:$G$34,'ANALITIKA EU PROJEKATA'!$A$3:$A$34,"=41",'ANALITIKA EU PROJEKATA'!$P$3:$P$34,"=313")</f>
        <v>0</v>
      </c>
      <c r="I8" s="138">
        <f>SUMIFS('Plan rashoda za unos u SAP'!$I$3:$I$501,'Plan rashoda za unos u SAP'!$C$3:$C$501,"=43",'Plan rashoda za unos u SAP'!$M$3:$M$501,"=313")+SUMIFS('ANALITIKA EU PROJEKATA'!$G$3:$G$34,'ANALITIKA EU PROJEKATA'!$A$3:$A$34,"=43",'ANALITIKA EU PROJEKATA'!$P$3:$P$34,"=313")</f>
        <v>0</v>
      </c>
      <c r="J8" s="138">
        <f>SUMIFS('Plan rashoda za unos u SAP'!$I$3:$I$501,'Plan rashoda za unos u SAP'!$C$3:$C$501,"=51",'Plan rashoda za unos u SAP'!$M$3:$M$501,"=313")+SUMIFS('ANALITIKA EU PROJEKATA'!$G$3:$G$34,'ANALITIKA EU PROJEKATA'!$A$3:$A$34,"=51",'ANALITIKA EU PROJEKATA'!$P$3:$P$34,"=313")</f>
        <v>0</v>
      </c>
      <c r="K8" s="138">
        <f>SUMIFS('Plan rashoda za unos u SAP'!$I$3:$I$501,'Plan rashoda za unos u SAP'!$C$3:$C$501,"=52",'Plan rashoda za unos u SAP'!$M$3:$M$501,"=313")+SUMIFS('ANALITIKA EU PROJEKATA'!$G$3:$G$34,'ANALITIKA EU PROJEKATA'!$A$3:$A$34,"=52",'ANALITIKA EU PROJEKATA'!$P$3:$P$34,"=313")</f>
        <v>0</v>
      </c>
      <c r="L8" s="138">
        <f>SUMIFS('Plan rashoda za unos u SAP'!$I$3:$I$501,'Plan rashoda za unos u SAP'!$C$3:$C$501,"=552",'Plan rashoda za unos u SAP'!$M$3:$M$501,"=313")+SUMIFS('ANALITIKA EU PROJEKATA'!$G$3:$G$34,'ANALITIKA EU PROJEKATA'!$A$3:$A$34,"=552",'ANALITIKA EU PROJEKATA'!$P$3:$P$34,"=313")</f>
        <v>0</v>
      </c>
      <c r="M8" s="138">
        <f>SUMIFS('Plan rashoda za unos u SAP'!$I$3:$I$501,'Plan rashoda za unos u SAP'!$C$3:$C$501,"=559",'Plan rashoda za unos u SAP'!$M$3:$M$501,"=313")+SUMIFS('ANALITIKA EU PROJEKATA'!$G$3:$G$34,'ANALITIKA EU PROJEKATA'!$A$3:$A$34,"=559",'ANALITIKA EU PROJEKATA'!$P$3:$P$34,"=313")</f>
        <v>0</v>
      </c>
      <c r="N8" s="138">
        <f>SUMIFS('Plan rashoda za unos u SAP'!$I$3:$I$501,'Plan rashoda za unos u SAP'!$C$3:$C$501,"=561",'Plan rashoda za unos u SAP'!$M$3:$M$501,"=313")+SUMIFS('ANALITIKA EU PROJEKATA'!$G$3:$G$34,'ANALITIKA EU PROJEKATA'!$A$3:$A$34,"=561",'ANALITIKA EU PROJEKATA'!$P$3:$P$34,"=313")</f>
        <v>0</v>
      </c>
      <c r="O8" s="138">
        <f>SUMIFS('Plan rashoda za unos u SAP'!$I$3:$I$501,'Plan rashoda za unos u SAP'!$C$3:$C$501,"=563",'Plan rashoda za unos u SAP'!$M$3:$M$501,"=313")+SUMIFS('ANALITIKA EU PROJEKATA'!$G$3:$G$34,'ANALITIKA EU PROJEKATA'!$A$3:$A$34,"=563",'ANALITIKA EU PROJEKATA'!$P$3:$P$34,"=313")</f>
        <v>0</v>
      </c>
      <c r="P8" s="138">
        <f>SUMIFS('Plan rashoda za unos u SAP'!$I$3:$I$501,'Plan rashoda za unos u SAP'!$C$3:$C$501,"=573",'Plan rashoda za unos u SAP'!$M$3:$M$501,"=313")+SUMIFS('ANALITIKA EU PROJEKATA'!$G$3:$G$34,'ANALITIKA EU PROJEKATA'!$A$3:$A$34,"=573",'ANALITIKA EU PROJEKATA'!$P$3:$P$34,"=313")</f>
        <v>0</v>
      </c>
      <c r="Q8" s="138">
        <f>SUMIFS('Plan rashoda za unos u SAP'!$I$3:$I$501,'Plan rashoda za unos u SAP'!$C$3:$C$501,"=575",'Plan rashoda za unos u SAP'!$M$3:$M$501,"=313")+SUMIFS('ANALITIKA EU PROJEKATA'!$G$3:$G$34,'ANALITIKA EU PROJEKATA'!$A$3:$A$34,"=575",'ANALITIKA EU PROJEKATA'!$P$3:$P$34,"=313")</f>
        <v>0</v>
      </c>
      <c r="R8" s="138">
        <f>SUMIFS('Plan rashoda za unos u SAP'!$I$3:$I$501,'Plan rashoda za unos u SAP'!$C$3:$C$501,"=576",'Plan rashoda za unos u SAP'!$M$3:$M$501,"=313")+SUMIFS('ANALITIKA EU PROJEKATA'!$G$3:$G$34,'ANALITIKA EU PROJEKATA'!$A$3:$A$34,"=576",'ANALITIKA EU PROJEKATA'!$P$3:$P$34,"=313")</f>
        <v>0</v>
      </c>
      <c r="S8" s="138">
        <f>SUMIFS('Plan rashoda za unos u SAP'!$I$3:$I$501,'Plan rashoda za unos u SAP'!$C$3:$C$501,"=581",'Plan rashoda za unos u SAP'!$M$3:$M$501,"=313")+SUMIFS('ANALITIKA EU PROJEKATA'!$G$3:$G$34,'ANALITIKA EU PROJEKATA'!$A$3:$A$34,"=581",'ANALITIKA EU PROJEKATA'!$P$3:$P$34,"=313")</f>
        <v>0</v>
      </c>
      <c r="T8" s="138">
        <f>SUMIFS('Plan rashoda za unos u SAP'!$I$3:$I$501,'Plan rashoda za unos u SAP'!$C$3:$C$501,"=61",'Plan rashoda za unos u SAP'!$M$3:$M$501,"=313")+SUMIFS('ANALITIKA EU PROJEKATA'!$G$3:$G$34,'ANALITIKA EU PROJEKATA'!$A$3:$A$34,"=61",'ANALITIKA EU PROJEKATA'!$P$3:$P$34,"=313")</f>
        <v>0</v>
      </c>
      <c r="U8" s="138">
        <f>SUMIFS('Plan rashoda za unos u SAP'!$I$3:$I$501,'Plan rashoda za unos u SAP'!$C$3:$C$501,"=63",'Plan rashoda za unos u SAP'!$M$3:$M$501,"=313")+SUMIFS('ANALITIKA EU PROJEKATA'!$G$3:$G$34,'ANALITIKA EU PROJEKATA'!$A$3:$A$34,"=63",'ANALITIKA EU PROJEKATA'!$P$3:$P$34,"=313")</f>
        <v>0</v>
      </c>
      <c r="V8" s="138">
        <f>SUMIFS('Plan rashoda za unos u SAP'!$I$3:$I$501,'Plan rashoda za unos u SAP'!$C$3:$C$501,"=71",'Plan rashoda za unos u SAP'!$M$3:$M$501,"=313")+SUMIFS('ANALITIKA EU PROJEKATA'!$G$3:$G$34,'ANALITIKA EU PROJEKATA'!$A$3:$A$34,"=71",'ANALITIKA EU PROJEKATA'!$P$3:$P$34,"=313")</f>
        <v>0</v>
      </c>
      <c r="W8" s="138">
        <f>SUMIFS('Plan rashoda za unos u SAP'!$I$3:$I$501,'Plan rashoda za unos u SAP'!$C$3:$C$501,"=81",'Plan rashoda za unos u SAP'!$M$3:$M$501,"=313")+SUMIFS('ANALITIKA EU PROJEKATA'!$G$3:$G$34,'ANALITIKA EU PROJEKATA'!$A$3:$A$34,"=81",'ANALITIKA EU PROJEKATA'!$P$3:$P$34,"=313")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2636282</v>
      </c>
      <c r="E9" s="78">
        <f t="shared" ref="E9:W9" si="4">SUM(E10:E14)</f>
        <v>1261732</v>
      </c>
      <c r="F9" s="78">
        <f t="shared" si="4"/>
        <v>0</v>
      </c>
      <c r="G9" s="78">
        <f>SUM(G10:G14)</f>
        <v>0</v>
      </c>
      <c r="H9" s="78">
        <f>SUM(H10:H14)</f>
        <v>0</v>
      </c>
      <c r="I9" s="78">
        <f t="shared" si="4"/>
        <v>1140000</v>
      </c>
      <c r="J9" s="78">
        <f t="shared" si="4"/>
        <v>0</v>
      </c>
      <c r="K9" s="78">
        <f t="shared" si="4"/>
        <v>234550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691350</v>
      </c>
      <c r="E10" s="138">
        <f>SUMIFS('Plan rashoda za unos u SAP'!$I$3:$I$501,'Plan rashoda za unos u SAP'!$C$3:$C$501,"=11",'Plan rashoda za unos u SAP'!$M$3:$M$501,"=321")+SUMIFS('ANALITIKA EU PROJEKATA'!$G$3:$G$34,'ANALITIKA EU PROJEKATA'!$A$3:$A$34,"=11",'ANALITIKA EU PROJEKATA'!$P$3:$P$34,"=321")</f>
        <v>266800</v>
      </c>
      <c r="F10" s="138">
        <f>SUMIFS('Plan rashoda za unos u SAP'!$I$3:$I$501,'Plan rashoda za unos u SAP'!$C$3:$C$501,"=12",'Plan rashoda za unos u SAP'!$M$3:$M$501,"=321")+SUMIFS('ANALITIKA EU PROJEKATA'!$G$3:$G$34,'ANALITIKA EU PROJEKATA'!$A$3:$A$34,"=12",'ANALITIKA EU PROJEKATA'!$P$3:$P$34,"=321")</f>
        <v>0</v>
      </c>
      <c r="G10" s="138">
        <f>SUMIFS('Plan rashoda za unos u SAP'!$I$3:$I$501,'Plan rashoda za unos u SAP'!$C$3:$C$501,"=31",'Plan rashoda za unos u SAP'!$M$3:$M$501,"=321")+SUMIFS('ANALITIKA EU PROJEKATA'!$G$3:$G$34,'ANALITIKA EU PROJEKATA'!$A$3:$A$34,"=31",'ANALITIKA EU PROJEKATA'!$P$3:$P$34,"=321")</f>
        <v>0</v>
      </c>
      <c r="H10" s="138">
        <f>SUMIFS('Plan rashoda za unos u SAP'!$I$3:$I$501,'Plan rashoda za unos u SAP'!$C$3:$C$501,"=41",'Plan rashoda za unos u SAP'!$M$3:$M$501,"=321")+SUMIFS('ANALITIKA EU PROJEKATA'!$G$3:$G$34,'ANALITIKA EU PROJEKATA'!$A$3:$A$34,"=41",'ANALITIKA EU PROJEKATA'!$P$3:$P$34,"=321")</f>
        <v>0</v>
      </c>
      <c r="I10" s="138">
        <f>SUMIFS('Plan rashoda za unos u SAP'!$I$3:$I$501,'Plan rashoda za unos u SAP'!$C$3:$C$501,"=43",'Plan rashoda za unos u SAP'!$M$3:$M$501,"=321")+SUMIFS('ANALITIKA EU PROJEKATA'!$G$3:$G$34,'ANALITIKA EU PROJEKATA'!$A$3:$A$34,"=43",'ANALITIKA EU PROJEKATA'!$P$3:$P$34,"=321")</f>
        <v>190000</v>
      </c>
      <c r="J10" s="138">
        <f>SUMIFS('Plan rashoda za unos u SAP'!$I$3:$I$501,'Plan rashoda za unos u SAP'!$C$3:$C$501,"=51",'Plan rashoda za unos u SAP'!$M$3:$M$501,"=321")+SUMIFS('ANALITIKA EU PROJEKATA'!$G$3:$G$34,'ANALITIKA EU PROJEKATA'!$A$3:$A$34,"=51",'ANALITIKA EU PROJEKATA'!$P$3:$P$34,"=321")</f>
        <v>0</v>
      </c>
      <c r="K10" s="138">
        <f>SUMIFS('Plan rashoda za unos u SAP'!$I$3:$I$501,'Plan rashoda za unos u SAP'!$C$3:$C$501,"=52",'Plan rashoda za unos u SAP'!$M$3:$M$501,"=321")+SUMIFS('ANALITIKA EU PROJEKATA'!$G$3:$G$34,'ANALITIKA EU PROJEKATA'!$A$3:$A$34,"=52",'ANALITIKA EU PROJEKATA'!$P$3:$P$34,"=321")</f>
        <v>234550</v>
      </c>
      <c r="L10" s="138">
        <f>SUMIFS('Plan rashoda za unos u SAP'!$I$3:$I$501,'Plan rashoda za unos u SAP'!$C$3:$C$501,"=552",'Plan rashoda za unos u SAP'!$M$3:$M$501,"=321")+SUMIFS('ANALITIKA EU PROJEKATA'!$G$3:$G$34,'ANALITIKA EU PROJEKATA'!$A$3:$A$34,"=552",'ANALITIKA EU PROJEKATA'!$P$3:$P$34,"=321")</f>
        <v>0</v>
      </c>
      <c r="M10" s="138">
        <f>SUMIFS('Plan rashoda za unos u SAP'!$I$3:$I$501,'Plan rashoda za unos u SAP'!$C$3:$C$501,"=559",'Plan rashoda za unos u SAP'!$M$3:$M$501,"=321")+SUMIFS('ANALITIKA EU PROJEKATA'!$G$3:$G$34,'ANALITIKA EU PROJEKATA'!$A$3:$A$34,"=559",'ANALITIKA EU PROJEKATA'!$P$3:$P$34,"=321")</f>
        <v>0</v>
      </c>
      <c r="N10" s="138">
        <f>SUMIFS('Plan rashoda za unos u SAP'!$I$3:$I$501,'Plan rashoda za unos u SAP'!$C$3:$C$501,"=561",'Plan rashoda za unos u SAP'!$M$3:$M$501,"=321")+SUMIFS('ANALITIKA EU PROJEKATA'!$G$3:$G$34,'ANALITIKA EU PROJEKATA'!$A$3:$A$34,"=561",'ANALITIKA EU PROJEKATA'!$P$3:$P$34,"=321")</f>
        <v>0</v>
      </c>
      <c r="O10" s="138">
        <f>SUMIFS('Plan rashoda za unos u SAP'!$I$3:$I$501,'Plan rashoda za unos u SAP'!$C$3:$C$501,"=563",'Plan rashoda za unos u SAP'!$M$3:$M$501,"=321")+SUMIFS('ANALITIKA EU PROJEKATA'!$G$3:$G$34,'ANALITIKA EU PROJEKATA'!$A$3:$A$34,"=563",'ANALITIKA EU PROJEKATA'!$P$3:$P$34,"=321")</f>
        <v>0</v>
      </c>
      <c r="P10" s="138">
        <f>SUMIFS('Plan rashoda za unos u SAP'!$I$3:$I$501,'Plan rashoda za unos u SAP'!$C$3:$C$501,"=573",'Plan rashoda za unos u SAP'!$M$3:$M$501,"=321")+SUMIFS('ANALITIKA EU PROJEKATA'!$G$3:$G$34,'ANALITIKA EU PROJEKATA'!$A$3:$A$34,"=573",'ANALITIKA EU PROJEKATA'!$P$3:$P$34,"=321")</f>
        <v>0</v>
      </c>
      <c r="Q10" s="138">
        <f>SUMIFS('Plan rashoda za unos u SAP'!$I$3:$I$501,'Plan rashoda za unos u SAP'!$C$3:$C$501,"=575",'Plan rashoda za unos u SAP'!$M$3:$M$501,"=321")+SUMIFS('ANALITIKA EU PROJEKATA'!$G$3:$G$34,'ANALITIKA EU PROJEKATA'!$A$3:$A$34,"=575",'ANALITIKA EU PROJEKATA'!$P$3:$P$34,"=321")</f>
        <v>0</v>
      </c>
      <c r="R10" s="138">
        <f>SUMIFS('Plan rashoda za unos u SAP'!$I$3:$I$501,'Plan rashoda za unos u SAP'!$C$3:$C$501,"=576",'Plan rashoda za unos u SAP'!$M$3:$M$501,"=321")+SUMIFS('ANALITIKA EU PROJEKATA'!$G$3:$G$34,'ANALITIKA EU PROJEKATA'!$A$3:$A$34,"=576",'ANALITIKA EU PROJEKATA'!$P$3:$P$34,"=321")</f>
        <v>0</v>
      </c>
      <c r="S10" s="138">
        <f>SUMIFS('Plan rashoda za unos u SAP'!$I$3:$I$501,'Plan rashoda za unos u SAP'!$C$3:$C$501,"=581",'Plan rashoda za unos u SAP'!$M$3:$M$501,"=321")+SUMIFS('ANALITIKA EU PROJEKATA'!$G$3:$G$34,'ANALITIKA EU PROJEKATA'!$A$3:$A$34,"=581",'ANALITIKA EU PROJEKATA'!$P$3:$P$34,"=321")</f>
        <v>0</v>
      </c>
      <c r="T10" s="138">
        <f>SUMIFS('Plan rashoda za unos u SAP'!$I$3:$I$501,'Plan rashoda za unos u SAP'!$C$3:$C$501,"=61",'Plan rashoda za unos u SAP'!$M$3:$M$501,"=321")+SUMIFS('ANALITIKA EU PROJEKATA'!$G$3:$G$34,'ANALITIKA EU PROJEKATA'!$A$3:$A$34,"=61",'ANALITIKA EU PROJEKATA'!$P$3:$P$34,"=321")</f>
        <v>0</v>
      </c>
      <c r="U10" s="138">
        <f>SUMIFS('Plan rashoda za unos u SAP'!$I$3:$I$501,'Plan rashoda za unos u SAP'!$C$3:$C$501,"=63",'Plan rashoda za unos u SAP'!$M$3:$M$501,"=321")+SUMIFS('ANALITIKA EU PROJEKATA'!$G$3:$G$34,'ANALITIKA EU PROJEKATA'!$A$3:$A$34,"=63",'ANALITIKA EU PROJEKATA'!$P$3:$P$34,"=321")</f>
        <v>0</v>
      </c>
      <c r="V10" s="138">
        <f>SUMIFS('Plan rashoda za unos u SAP'!$I$3:$I$501,'Plan rashoda za unos u SAP'!$C$3:$C$501,"=71",'Plan rashoda za unos u SAP'!$M$3:$M$501,"=321")+SUMIFS('ANALITIKA EU PROJEKATA'!$G$3:$G$34,'ANALITIKA EU PROJEKATA'!$A$3:$A$34,"=71",'ANALITIKA EU PROJEKATA'!$P$3:$P$34,"=321")</f>
        <v>0</v>
      </c>
      <c r="W10" s="138">
        <f>SUMIFS('Plan rashoda za unos u SAP'!$I$3:$I$501,'Plan rashoda za unos u SAP'!$C$3:$C$501,"=81",'Plan rashoda za unos u SAP'!$M$3:$M$501,"=321")+SUMIFS('ANALITIKA EU PROJEKATA'!$G$3:$G$34,'ANALITIKA EU PROJEKATA'!$A$3:$A$34,"=81",'ANALITIKA EU PROJEKATA'!$P$3:$P$34,"=321")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640000</v>
      </c>
      <c r="E11" s="138">
        <f>SUMIFS('Plan rashoda za unos u SAP'!$I$3:$I$501,'Plan rashoda za unos u SAP'!$C$3:$C$501,"=11",'Plan rashoda za unos u SAP'!$M$3:$M$501,"=322")+SUMIFS('ANALITIKA EU PROJEKATA'!$G$3:$G$34,'ANALITIKA EU PROJEKATA'!$A$3:$A$34,"=11",'ANALITIKA EU PROJEKATA'!$P$3:$P$34,"=322")</f>
        <v>580000</v>
      </c>
      <c r="F11" s="138">
        <f>SUMIFS('Plan rashoda za unos u SAP'!$I$3:$I$501,'Plan rashoda za unos u SAP'!$C$3:$C$501,"=12",'Plan rashoda za unos u SAP'!$M$3:$M$501,"=322")+SUMIFS('ANALITIKA EU PROJEKATA'!$G$3:$G$34,'ANALITIKA EU PROJEKATA'!$A$3:$A$34,"=12",'ANALITIKA EU PROJEKATA'!$P$3:$P$34,"=322")</f>
        <v>0</v>
      </c>
      <c r="G11" s="138">
        <f>SUMIFS('Plan rashoda za unos u SAP'!$I$3:$I$501,'Plan rashoda za unos u SAP'!$C$3:$C$501,"=31",'Plan rashoda za unos u SAP'!$M$3:$M$501,"=322")+SUMIFS('ANALITIKA EU PROJEKATA'!$G$3:$G$34,'ANALITIKA EU PROJEKATA'!$A$3:$A$34,"=31",'ANALITIKA EU PROJEKATA'!$P$3:$P$34,"=322")</f>
        <v>0</v>
      </c>
      <c r="H11" s="138">
        <f>SUMIFS('Plan rashoda za unos u SAP'!$I$3:$I$501,'Plan rashoda za unos u SAP'!$C$3:$C$501,"=41",'Plan rashoda za unos u SAP'!$M$3:$M$501,"=322")+SUMIFS('ANALITIKA EU PROJEKATA'!$G$3:$G$34,'ANALITIKA EU PROJEKATA'!$A$3:$A$34,"=41",'ANALITIKA EU PROJEKATA'!$P$3:$P$34,"=322")</f>
        <v>0</v>
      </c>
      <c r="I11" s="138">
        <f>SUMIFS('Plan rashoda za unos u SAP'!$I$3:$I$501,'Plan rashoda za unos u SAP'!$C$3:$C$501,"=43",'Plan rashoda za unos u SAP'!$M$3:$M$501,"=322")+SUMIFS('ANALITIKA EU PROJEKATA'!$G$3:$G$34,'ANALITIKA EU PROJEKATA'!$A$3:$A$34,"=43",'ANALITIKA EU PROJEKATA'!$P$3:$P$34,"=322")</f>
        <v>60000</v>
      </c>
      <c r="J11" s="138">
        <f>SUMIFS('Plan rashoda za unos u SAP'!$I$3:$I$501,'Plan rashoda za unos u SAP'!$C$3:$C$501,"=51",'Plan rashoda za unos u SAP'!$M$3:$M$501,"=322")+SUMIFS('ANALITIKA EU PROJEKATA'!$G$3:$G$34,'ANALITIKA EU PROJEKATA'!$A$3:$A$34,"=51",'ANALITIKA EU PROJEKATA'!$P$3:$P$34,"=322")</f>
        <v>0</v>
      </c>
      <c r="K11" s="138">
        <f>SUMIFS('Plan rashoda za unos u SAP'!$I$3:$I$501,'Plan rashoda za unos u SAP'!$C$3:$C$501,"=52",'Plan rashoda za unos u SAP'!$M$3:$M$501,"=322")+SUMIFS('ANALITIKA EU PROJEKATA'!$G$3:$G$34,'ANALITIKA EU PROJEKATA'!$A$3:$A$34,"=52",'ANALITIKA EU PROJEKATA'!$P$3:$P$34,"=322")</f>
        <v>0</v>
      </c>
      <c r="L11" s="138">
        <f>SUMIFS('Plan rashoda za unos u SAP'!$I$3:$I$501,'Plan rashoda za unos u SAP'!$C$3:$C$501,"=552",'Plan rashoda za unos u SAP'!$M$3:$M$501,"=322")+SUMIFS('ANALITIKA EU PROJEKATA'!$G$3:$G$34,'ANALITIKA EU PROJEKATA'!$A$3:$A$34,"=552",'ANALITIKA EU PROJEKATA'!$P$3:$P$34,"=322")</f>
        <v>0</v>
      </c>
      <c r="M11" s="138">
        <f>SUMIFS('Plan rashoda za unos u SAP'!$I$3:$I$501,'Plan rashoda za unos u SAP'!$C$3:$C$501,"=559",'Plan rashoda za unos u SAP'!$M$3:$M$501,"=322")+SUMIFS('ANALITIKA EU PROJEKATA'!$G$3:$G$34,'ANALITIKA EU PROJEKATA'!$A$3:$A$34,"=559",'ANALITIKA EU PROJEKATA'!$P$3:$P$34,"=322")</f>
        <v>0</v>
      </c>
      <c r="N11" s="138">
        <f>SUMIFS('Plan rashoda za unos u SAP'!$I$3:$I$501,'Plan rashoda za unos u SAP'!$C$3:$C$501,"=561",'Plan rashoda za unos u SAP'!$M$3:$M$501,"=322")+SUMIFS('ANALITIKA EU PROJEKATA'!$G$3:$G$34,'ANALITIKA EU PROJEKATA'!$A$3:$A$34,"=561",'ANALITIKA EU PROJEKATA'!$P$3:$P$34,"=322")</f>
        <v>0</v>
      </c>
      <c r="O11" s="138">
        <f>SUMIFS('Plan rashoda za unos u SAP'!$I$3:$I$501,'Plan rashoda za unos u SAP'!$C$3:$C$501,"=563",'Plan rashoda za unos u SAP'!$M$3:$M$501,"=322")+SUMIFS('ANALITIKA EU PROJEKATA'!$G$3:$G$34,'ANALITIKA EU PROJEKATA'!$A$3:$A$34,"=563",'ANALITIKA EU PROJEKATA'!$P$3:$P$34,"=322")</f>
        <v>0</v>
      </c>
      <c r="P11" s="138">
        <f>SUMIFS('Plan rashoda za unos u SAP'!$I$3:$I$501,'Plan rashoda za unos u SAP'!$C$3:$C$501,"=573",'Plan rashoda za unos u SAP'!$M$3:$M$501,"=322")+SUMIFS('ANALITIKA EU PROJEKATA'!$G$3:$G$34,'ANALITIKA EU PROJEKATA'!$A$3:$A$34,"=573",'ANALITIKA EU PROJEKATA'!$P$3:$P$34,"=322")</f>
        <v>0</v>
      </c>
      <c r="Q11" s="138">
        <f>SUMIFS('Plan rashoda za unos u SAP'!$I$3:$I$501,'Plan rashoda za unos u SAP'!$C$3:$C$501,"=575",'Plan rashoda za unos u SAP'!$M$3:$M$501,"=322")+SUMIFS('ANALITIKA EU PROJEKATA'!$G$3:$G$34,'ANALITIKA EU PROJEKATA'!$A$3:$A$34,"=575",'ANALITIKA EU PROJEKATA'!$P$3:$P$34,"=322")</f>
        <v>0</v>
      </c>
      <c r="R11" s="138">
        <f>SUMIFS('Plan rashoda za unos u SAP'!$I$3:$I$501,'Plan rashoda za unos u SAP'!$C$3:$C$501,"=576",'Plan rashoda za unos u SAP'!$M$3:$M$501,"=322")+SUMIFS('ANALITIKA EU PROJEKATA'!$G$3:$G$34,'ANALITIKA EU PROJEKATA'!$A$3:$A$34,"=576",'ANALITIKA EU PROJEKATA'!$P$3:$P$34,"=322")</f>
        <v>0</v>
      </c>
      <c r="S11" s="138">
        <f>SUMIFS('Plan rashoda za unos u SAP'!$I$3:$I$501,'Plan rashoda za unos u SAP'!$C$3:$C$501,"=581",'Plan rashoda za unos u SAP'!$M$3:$M$501,"=322")+SUMIFS('ANALITIKA EU PROJEKATA'!$G$3:$G$34,'ANALITIKA EU PROJEKATA'!$A$3:$A$34,"=581",'ANALITIKA EU PROJEKATA'!$P$3:$P$34,"=322")</f>
        <v>0</v>
      </c>
      <c r="T11" s="138">
        <f>SUMIFS('Plan rashoda za unos u SAP'!$I$3:$I$501,'Plan rashoda za unos u SAP'!$C$3:$C$501,"=61",'Plan rashoda za unos u SAP'!$M$3:$M$501,"=322")+SUMIFS('ANALITIKA EU PROJEKATA'!$G$3:$G$34,'ANALITIKA EU PROJEKATA'!$A$3:$A$34,"=61",'ANALITIKA EU PROJEKATA'!$P$3:$P$34,"=322")</f>
        <v>0</v>
      </c>
      <c r="U11" s="138">
        <f>SUMIFS('Plan rashoda za unos u SAP'!$I$3:$I$501,'Plan rashoda za unos u SAP'!$C$3:$C$501,"=63",'Plan rashoda za unos u SAP'!$M$3:$M$501,"=322")+SUMIFS('ANALITIKA EU PROJEKATA'!$G$3:$G$34,'ANALITIKA EU PROJEKATA'!$A$3:$A$34,"=63",'ANALITIKA EU PROJEKATA'!$P$3:$P$34,"=322")</f>
        <v>0</v>
      </c>
      <c r="V11" s="138">
        <f>SUMIFS('Plan rashoda za unos u SAP'!$I$3:$I$501,'Plan rashoda za unos u SAP'!$C$3:$C$501,"=71",'Plan rashoda za unos u SAP'!$M$3:$M$501,"=322")+SUMIFS('ANALITIKA EU PROJEKATA'!$G$3:$G$34,'ANALITIKA EU PROJEKATA'!$A$3:$A$34,"=71",'ANALITIKA EU PROJEKATA'!$P$3:$P$34,"=322")</f>
        <v>0</v>
      </c>
      <c r="W11" s="138">
        <f>SUMIFS('Plan rashoda za unos u SAP'!$I$3:$I$501,'Plan rashoda za unos u SAP'!$C$3:$C$501,"=81",'Plan rashoda za unos u SAP'!$M$3:$M$501,"=322")+SUMIFS('ANALITIKA EU PROJEKATA'!$G$3:$G$34,'ANALITIKA EU PROJEKATA'!$A$3:$A$34,"=81",'ANALITIKA EU PROJEKATA'!$P$3:$P$34,"=322")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1129932</v>
      </c>
      <c r="E12" s="138">
        <f>SUMIFS('Plan rashoda za unos u SAP'!$I$3:$I$501,'Plan rashoda za unos u SAP'!$C$3:$C$501,"=11",'Plan rashoda za unos u SAP'!$M$3:$M$501,"=323")+SUMIFS('ANALITIKA EU PROJEKATA'!$G$3:$G$34,'ANALITIKA EU PROJEKATA'!$A$3:$A$34,"=11",'ANALITIKA EU PROJEKATA'!$P$3:$P$34,"=323")</f>
        <v>414932</v>
      </c>
      <c r="F12" s="138">
        <f>SUMIFS('Plan rashoda za unos u SAP'!$I$3:$I$501,'Plan rashoda za unos u SAP'!$C$3:$C$501,"=12",'Plan rashoda za unos u SAP'!$M$3:$M$501,"=323")+SUMIFS('ANALITIKA EU PROJEKATA'!$G$3:$G$34,'ANALITIKA EU PROJEKATA'!$A$3:$A$34,"=12",'ANALITIKA EU PROJEKATA'!$P$3:$P$34,"=323")</f>
        <v>0</v>
      </c>
      <c r="G12" s="138">
        <f>SUMIFS('Plan rashoda za unos u SAP'!$I$3:$I$501,'Plan rashoda za unos u SAP'!$C$3:$C$501,"=31",'Plan rashoda za unos u SAP'!$M$3:$M$501,"=323")+SUMIFS('ANALITIKA EU PROJEKATA'!$G$3:$G$34,'ANALITIKA EU PROJEKATA'!$A$3:$A$34,"=31",'ANALITIKA EU PROJEKATA'!$P$3:$P$34,"=323")</f>
        <v>0</v>
      </c>
      <c r="H12" s="138">
        <f>SUMIFS('Plan rashoda za unos u SAP'!$I$3:$I$501,'Plan rashoda za unos u SAP'!$C$3:$C$501,"=41",'Plan rashoda za unos u SAP'!$M$3:$M$501,"=323")+SUMIFS('ANALITIKA EU PROJEKATA'!$G$3:$G$34,'ANALITIKA EU PROJEKATA'!$A$3:$A$34,"=41",'ANALITIKA EU PROJEKATA'!$P$3:$P$34,"=323")</f>
        <v>0</v>
      </c>
      <c r="I12" s="138">
        <f>SUMIFS('Plan rashoda za unos u SAP'!$I$3:$I$501,'Plan rashoda za unos u SAP'!$C$3:$C$501,"=43",'Plan rashoda za unos u SAP'!$M$3:$M$501,"=323")+SUMIFS('ANALITIKA EU PROJEKATA'!$G$3:$G$34,'ANALITIKA EU PROJEKATA'!$A$3:$A$34,"=43",'ANALITIKA EU PROJEKATA'!$P$3:$P$34,"=323")</f>
        <v>715000</v>
      </c>
      <c r="J12" s="138">
        <f>SUMIFS('Plan rashoda za unos u SAP'!$I$3:$I$501,'Plan rashoda za unos u SAP'!$C$3:$C$501,"=51",'Plan rashoda za unos u SAP'!$M$3:$M$501,"=323")+SUMIFS('ANALITIKA EU PROJEKATA'!$G$3:$G$34,'ANALITIKA EU PROJEKATA'!$A$3:$A$34,"=51",'ANALITIKA EU PROJEKATA'!$P$3:$P$34,"=323")</f>
        <v>0</v>
      </c>
      <c r="K12" s="138">
        <f>SUMIFS('Plan rashoda za unos u SAP'!$I$3:$I$501,'Plan rashoda za unos u SAP'!$C$3:$C$501,"=52",'Plan rashoda za unos u SAP'!$M$3:$M$501,"=323")+SUMIFS('ANALITIKA EU PROJEKATA'!$G$3:$G$34,'ANALITIKA EU PROJEKATA'!$A$3:$A$34,"=52",'ANALITIKA EU PROJEKATA'!$P$3:$P$34,"=323")</f>
        <v>0</v>
      </c>
      <c r="L12" s="138">
        <f>SUMIFS('Plan rashoda za unos u SAP'!$I$3:$I$501,'Plan rashoda za unos u SAP'!$C$3:$C$501,"=552",'Plan rashoda za unos u SAP'!$M$3:$M$501,"=323")+SUMIFS('ANALITIKA EU PROJEKATA'!$G$3:$G$34,'ANALITIKA EU PROJEKATA'!$A$3:$A$34,"=552",'ANALITIKA EU PROJEKATA'!$P$3:$P$34,"=323")</f>
        <v>0</v>
      </c>
      <c r="M12" s="138">
        <f>SUMIFS('Plan rashoda za unos u SAP'!$I$3:$I$501,'Plan rashoda za unos u SAP'!$C$3:$C$501,"=559",'Plan rashoda za unos u SAP'!$M$3:$M$501,"=323")+SUMIFS('ANALITIKA EU PROJEKATA'!$G$3:$G$34,'ANALITIKA EU PROJEKATA'!$A$3:$A$34,"=559",'ANALITIKA EU PROJEKATA'!$P$3:$P$34,"=323")</f>
        <v>0</v>
      </c>
      <c r="N12" s="138">
        <f>SUMIFS('Plan rashoda za unos u SAP'!$I$3:$I$501,'Plan rashoda za unos u SAP'!$C$3:$C$501,"=561",'Plan rashoda za unos u SAP'!$M$3:$M$501,"=323")+SUMIFS('ANALITIKA EU PROJEKATA'!$G$3:$G$34,'ANALITIKA EU PROJEKATA'!$A$3:$A$34,"=561",'ANALITIKA EU PROJEKATA'!$P$3:$P$34,"=323")</f>
        <v>0</v>
      </c>
      <c r="O12" s="138">
        <f>SUMIFS('Plan rashoda za unos u SAP'!$I$3:$I$501,'Plan rashoda za unos u SAP'!$C$3:$C$501,"=563",'Plan rashoda za unos u SAP'!$M$3:$M$501,"=323")+SUMIFS('ANALITIKA EU PROJEKATA'!$G$3:$G$34,'ANALITIKA EU PROJEKATA'!$A$3:$A$34,"=563",'ANALITIKA EU PROJEKATA'!$P$3:$P$34,"=323")</f>
        <v>0</v>
      </c>
      <c r="P12" s="138">
        <f>SUMIFS('Plan rashoda za unos u SAP'!$I$3:$I$501,'Plan rashoda za unos u SAP'!$C$3:$C$501,"=573",'Plan rashoda za unos u SAP'!$M$3:$M$501,"=323")+SUMIFS('ANALITIKA EU PROJEKATA'!$G$3:$G$34,'ANALITIKA EU PROJEKATA'!$A$3:$A$34,"=573",'ANALITIKA EU PROJEKATA'!$P$3:$P$34,"=323")</f>
        <v>0</v>
      </c>
      <c r="Q12" s="138">
        <f>SUMIFS('Plan rashoda za unos u SAP'!$I$3:$I$501,'Plan rashoda za unos u SAP'!$C$3:$C$501,"=575",'Plan rashoda za unos u SAP'!$M$3:$M$501,"=323")+SUMIFS('ANALITIKA EU PROJEKATA'!$G$3:$G$34,'ANALITIKA EU PROJEKATA'!$A$3:$A$34,"=575",'ANALITIKA EU PROJEKATA'!$P$3:$P$34,"=323")</f>
        <v>0</v>
      </c>
      <c r="R12" s="138">
        <f>SUMIFS('Plan rashoda za unos u SAP'!$I$3:$I$501,'Plan rashoda za unos u SAP'!$C$3:$C$501,"=576",'Plan rashoda za unos u SAP'!$M$3:$M$501,"=323")+SUMIFS('ANALITIKA EU PROJEKATA'!$G$3:$G$34,'ANALITIKA EU PROJEKATA'!$A$3:$A$34,"=576",'ANALITIKA EU PROJEKATA'!$P$3:$P$34,"=323")</f>
        <v>0</v>
      </c>
      <c r="S12" s="138">
        <f>SUMIFS('Plan rashoda za unos u SAP'!$I$3:$I$501,'Plan rashoda za unos u SAP'!$C$3:$C$501,"=581",'Plan rashoda za unos u SAP'!$M$3:$M$501,"=323")+SUMIFS('ANALITIKA EU PROJEKATA'!$G$3:$G$34,'ANALITIKA EU PROJEKATA'!$A$3:$A$34,"=581",'ANALITIKA EU PROJEKATA'!$P$3:$P$34,"=323")</f>
        <v>0</v>
      </c>
      <c r="T12" s="138">
        <f>SUMIFS('Plan rashoda za unos u SAP'!$I$3:$I$501,'Plan rashoda za unos u SAP'!$C$3:$C$501,"=61",'Plan rashoda za unos u SAP'!$M$3:$M$501,"=323")+SUMIFS('ANALITIKA EU PROJEKATA'!$G$3:$G$34,'ANALITIKA EU PROJEKATA'!$A$3:$A$34,"=61",'ANALITIKA EU PROJEKATA'!$P$3:$P$34,"=323")</f>
        <v>0</v>
      </c>
      <c r="U12" s="138">
        <f>SUMIFS('Plan rashoda za unos u SAP'!$I$3:$I$501,'Plan rashoda za unos u SAP'!$C$3:$C$501,"=63",'Plan rashoda za unos u SAP'!$M$3:$M$501,"=323")+SUMIFS('ANALITIKA EU PROJEKATA'!$G$3:$G$34,'ANALITIKA EU PROJEKATA'!$A$3:$A$34,"=63",'ANALITIKA EU PROJEKATA'!$P$3:$P$34,"=323")</f>
        <v>0</v>
      </c>
      <c r="V12" s="138">
        <f>SUMIFS('Plan rashoda za unos u SAP'!$I$3:$I$501,'Plan rashoda za unos u SAP'!$C$3:$C$501,"=71",'Plan rashoda za unos u SAP'!$M$3:$M$501,"=323")+SUMIFS('ANALITIKA EU PROJEKATA'!$G$3:$G$34,'ANALITIKA EU PROJEKATA'!$A$3:$A$34,"=71",'ANALITIKA EU PROJEKATA'!$P$3:$P$34,"=323")</f>
        <v>0</v>
      </c>
      <c r="W12" s="138">
        <f>SUMIFS('Plan rashoda za unos u SAP'!$I$3:$I$501,'Plan rashoda za unos u SAP'!$C$3:$C$501,"=81",'Plan rashoda za unos u SAP'!$M$3:$M$501,"=323")+SUMIFS('ANALITIKA EU PROJEKATA'!$G$3:$G$34,'ANALITIKA EU PROJEKATA'!$A$3:$A$34,"=81",'ANALITIKA EU PROJEKATA'!$P$3:$P$34,"=323")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0</v>
      </c>
      <c r="E13" s="138">
        <f>SUMIFS('Plan rashoda za unos u SAP'!$I$3:$I$501,'Plan rashoda za unos u SAP'!$C$3:$C$501,"=11",'Plan rashoda za unos u SAP'!$M$3:$M$501,"=324")+SUMIFS('ANALITIKA EU PROJEKATA'!$G$3:$G$34,'ANALITIKA EU PROJEKATA'!$A$3:$A$34,"=11",'ANALITIKA EU PROJEKATA'!$P$3:$P$34,"=324")</f>
        <v>0</v>
      </c>
      <c r="F13" s="138">
        <f>SUMIFS('Plan rashoda za unos u SAP'!$I$3:$I$501,'Plan rashoda za unos u SAP'!$C$3:$C$501,"=12",'Plan rashoda za unos u SAP'!$M$3:$M$501,"=324")+SUMIFS('ANALITIKA EU PROJEKATA'!$G$3:$G$34,'ANALITIKA EU PROJEKATA'!$A$3:$A$34,"=12",'ANALITIKA EU PROJEKATA'!$P$3:$P$34,"=324")</f>
        <v>0</v>
      </c>
      <c r="G13" s="138">
        <f>SUMIFS('Plan rashoda za unos u SAP'!$I$3:$I$501,'Plan rashoda za unos u SAP'!$C$3:$C$501,"=31",'Plan rashoda za unos u SAP'!$M$3:$M$501,"=324")+SUMIFS('ANALITIKA EU PROJEKATA'!$G$3:$G$34,'ANALITIKA EU PROJEKATA'!$A$3:$A$34,"=31",'ANALITIKA EU PROJEKATA'!$P$3:$P$34,"=324")</f>
        <v>0</v>
      </c>
      <c r="H13" s="138">
        <f>SUMIFS('Plan rashoda za unos u SAP'!$I$3:$I$501,'Plan rashoda za unos u SAP'!$C$3:$C$501,"=41",'Plan rashoda za unos u SAP'!$M$3:$M$501,"=324")+SUMIFS('ANALITIKA EU PROJEKATA'!$G$3:$G$34,'ANALITIKA EU PROJEKATA'!$A$3:$A$34,"=41",'ANALITIKA EU PROJEKATA'!$P$3:$P$34,"=324")</f>
        <v>0</v>
      </c>
      <c r="I13" s="138">
        <f>SUMIFS('Plan rashoda za unos u SAP'!$I$3:$I$501,'Plan rashoda za unos u SAP'!$C$3:$C$501,"=43",'Plan rashoda za unos u SAP'!$M$3:$M$501,"=324")+SUMIFS('ANALITIKA EU PROJEKATA'!$G$3:$G$34,'ANALITIKA EU PROJEKATA'!$A$3:$A$34,"=43",'ANALITIKA EU PROJEKATA'!$P$3:$P$34,"=324")</f>
        <v>0</v>
      </c>
      <c r="J13" s="138">
        <f>SUMIFS('Plan rashoda za unos u SAP'!$I$3:$I$501,'Plan rashoda za unos u SAP'!$C$3:$C$501,"=51",'Plan rashoda za unos u SAP'!$M$3:$M$501,"=324")+SUMIFS('ANALITIKA EU PROJEKATA'!$G$3:$G$34,'ANALITIKA EU PROJEKATA'!$A$3:$A$34,"=51",'ANALITIKA EU PROJEKATA'!$P$3:$P$34,"=324")</f>
        <v>0</v>
      </c>
      <c r="K13" s="138">
        <f>SUMIFS('Plan rashoda za unos u SAP'!$I$3:$I$501,'Plan rashoda za unos u SAP'!$C$3:$C$501,"=52",'Plan rashoda za unos u SAP'!$M$3:$M$501,"=324")+SUMIFS('ANALITIKA EU PROJEKATA'!$G$3:$G$34,'ANALITIKA EU PROJEKATA'!$A$3:$A$34,"=52",'ANALITIKA EU PROJEKATA'!$P$3:$P$34,"=324")</f>
        <v>0</v>
      </c>
      <c r="L13" s="138">
        <f>SUMIFS('Plan rashoda za unos u SAP'!$I$3:$I$501,'Plan rashoda za unos u SAP'!$C$3:$C$501,"=552",'Plan rashoda za unos u SAP'!$M$3:$M$501,"=324")+SUMIFS('ANALITIKA EU PROJEKATA'!$G$3:$G$34,'ANALITIKA EU PROJEKATA'!$A$3:$A$34,"=552",'ANALITIKA EU PROJEKATA'!$P$3:$P$34,"=324")</f>
        <v>0</v>
      </c>
      <c r="M13" s="138">
        <f>SUMIFS('Plan rashoda za unos u SAP'!$I$3:$I$501,'Plan rashoda za unos u SAP'!$C$3:$C$501,"=559",'Plan rashoda za unos u SAP'!$M$3:$M$501,"=324")+SUMIFS('ANALITIKA EU PROJEKATA'!$G$3:$G$34,'ANALITIKA EU PROJEKATA'!$A$3:$A$34,"=559",'ANALITIKA EU PROJEKATA'!$P$3:$P$34,"=324")</f>
        <v>0</v>
      </c>
      <c r="N13" s="138">
        <f>SUMIFS('Plan rashoda za unos u SAP'!$I$3:$I$501,'Plan rashoda za unos u SAP'!$C$3:$C$501,"=561",'Plan rashoda za unos u SAP'!$M$3:$M$501,"=324")+SUMIFS('ANALITIKA EU PROJEKATA'!$G$3:$G$34,'ANALITIKA EU PROJEKATA'!$A$3:$A$34,"=561",'ANALITIKA EU PROJEKATA'!$P$3:$P$34,"=324")</f>
        <v>0</v>
      </c>
      <c r="O13" s="138">
        <f>SUMIFS('Plan rashoda za unos u SAP'!$I$3:$I$501,'Plan rashoda za unos u SAP'!$C$3:$C$501,"=563",'Plan rashoda za unos u SAP'!$M$3:$M$501,"=324")+SUMIFS('ANALITIKA EU PROJEKATA'!$G$3:$G$34,'ANALITIKA EU PROJEKATA'!$A$3:$A$34,"=563",'ANALITIKA EU PROJEKATA'!$P$3:$P$34,"=324")</f>
        <v>0</v>
      </c>
      <c r="P13" s="138">
        <f>SUMIFS('Plan rashoda za unos u SAP'!$I$3:$I$501,'Plan rashoda za unos u SAP'!$C$3:$C$501,"=573",'Plan rashoda za unos u SAP'!$M$3:$M$501,"=324")+SUMIFS('ANALITIKA EU PROJEKATA'!$G$3:$G$34,'ANALITIKA EU PROJEKATA'!$A$3:$A$34,"=573",'ANALITIKA EU PROJEKATA'!$P$3:$P$34,"=324")</f>
        <v>0</v>
      </c>
      <c r="Q13" s="138">
        <f>SUMIFS('Plan rashoda za unos u SAP'!$I$3:$I$501,'Plan rashoda za unos u SAP'!$C$3:$C$501,"=575",'Plan rashoda za unos u SAP'!$M$3:$M$501,"=324")+SUMIFS('ANALITIKA EU PROJEKATA'!$G$3:$G$34,'ANALITIKA EU PROJEKATA'!$A$3:$A$34,"=575",'ANALITIKA EU PROJEKATA'!$P$3:$P$34,"=324")</f>
        <v>0</v>
      </c>
      <c r="R13" s="138">
        <f>SUMIFS('Plan rashoda za unos u SAP'!$I$3:$I$501,'Plan rashoda za unos u SAP'!$C$3:$C$501,"=576",'Plan rashoda za unos u SAP'!$M$3:$M$501,"=324")+SUMIFS('ANALITIKA EU PROJEKATA'!$G$3:$G$34,'ANALITIKA EU PROJEKATA'!$A$3:$A$34,"=576",'ANALITIKA EU PROJEKATA'!$P$3:$P$34,"=324")</f>
        <v>0</v>
      </c>
      <c r="S13" s="138">
        <f>SUMIFS('Plan rashoda za unos u SAP'!$I$3:$I$501,'Plan rashoda za unos u SAP'!$C$3:$C$501,"=581",'Plan rashoda za unos u SAP'!$M$3:$M$501,"=324")+SUMIFS('ANALITIKA EU PROJEKATA'!$G$3:$G$34,'ANALITIKA EU PROJEKATA'!$A$3:$A$34,"=581",'ANALITIKA EU PROJEKATA'!$P$3:$P$34,"=324")</f>
        <v>0</v>
      </c>
      <c r="T13" s="138">
        <f>SUMIFS('Plan rashoda za unos u SAP'!$I$3:$I$501,'Plan rashoda za unos u SAP'!$C$3:$C$501,"=61",'Plan rashoda za unos u SAP'!$M$3:$M$501,"=324")+SUMIFS('ANALITIKA EU PROJEKATA'!$G$3:$G$34,'ANALITIKA EU PROJEKATA'!$A$3:$A$34,"=61",'ANALITIKA EU PROJEKATA'!$P$3:$P$34,"=324")</f>
        <v>0</v>
      </c>
      <c r="U13" s="138">
        <f>SUMIFS('Plan rashoda za unos u SAP'!$I$3:$I$501,'Plan rashoda za unos u SAP'!$C$3:$C$501,"=63",'Plan rashoda za unos u SAP'!$M$3:$M$501,"=324")+SUMIFS('ANALITIKA EU PROJEKATA'!$G$3:$G$34,'ANALITIKA EU PROJEKATA'!$A$3:$A$34,"=63",'ANALITIKA EU PROJEKATA'!$P$3:$P$34,"=324")</f>
        <v>0</v>
      </c>
      <c r="V13" s="138">
        <f>SUMIFS('Plan rashoda za unos u SAP'!$I$3:$I$501,'Plan rashoda za unos u SAP'!$C$3:$C$501,"=71",'Plan rashoda za unos u SAP'!$M$3:$M$501,"=324")+SUMIFS('ANALITIKA EU PROJEKATA'!$G$3:$G$34,'ANALITIKA EU PROJEKATA'!$A$3:$A$34,"=71",'ANALITIKA EU PROJEKATA'!$P$3:$P$34,"=324")</f>
        <v>0</v>
      </c>
      <c r="W13" s="138">
        <f>SUMIFS('Plan rashoda za unos u SAP'!$I$3:$I$501,'Plan rashoda za unos u SAP'!$C$3:$C$501,"=81",'Plan rashoda za unos u SAP'!$M$3:$M$501,"=324")+SUMIFS('ANALITIKA EU PROJEKATA'!$G$3:$G$34,'ANALITIKA EU PROJEKATA'!$A$3:$A$34,"=81",'ANALITIKA EU PROJEKATA'!$P$3:$P$34,"=324")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175000</v>
      </c>
      <c r="E14" s="138">
        <f>SUMIFS('Plan rashoda za unos u SAP'!$I$3:$I$501,'Plan rashoda za unos u SAP'!$C$3:$C$501,"=11",'Plan rashoda za unos u SAP'!$M$3:$M$501,"=329")+SUMIFS('ANALITIKA EU PROJEKATA'!$G$3:$G$34,'ANALITIKA EU PROJEKATA'!$A$3:$A$34,"=11",'ANALITIKA EU PROJEKATA'!$P$3:$P$34,"=329")</f>
        <v>0</v>
      </c>
      <c r="F14" s="138">
        <f>SUMIFS('Plan rashoda za unos u SAP'!$I$3:$I$501,'Plan rashoda za unos u SAP'!$C$3:$C$501,"=12",'Plan rashoda za unos u SAP'!$M$3:$M$501,"=329")+SUMIFS('ANALITIKA EU PROJEKATA'!$G$3:$G$34,'ANALITIKA EU PROJEKATA'!$A$3:$A$34,"=12",'ANALITIKA EU PROJEKATA'!$P$3:$P$34,"=329")</f>
        <v>0</v>
      </c>
      <c r="G14" s="138">
        <f>SUMIFS('Plan rashoda za unos u SAP'!$I$3:$I$501,'Plan rashoda za unos u SAP'!$C$3:$C$501,"=31",'Plan rashoda za unos u SAP'!$M$3:$M$501,"=329")+SUMIFS('ANALITIKA EU PROJEKATA'!$G$3:$G$34,'ANALITIKA EU PROJEKATA'!$A$3:$A$34,"=31",'ANALITIKA EU PROJEKATA'!$P$3:$P$34,"=329")</f>
        <v>0</v>
      </c>
      <c r="H14" s="138">
        <f>SUMIFS('Plan rashoda za unos u SAP'!$I$3:$I$501,'Plan rashoda za unos u SAP'!$C$3:$C$501,"=41",'Plan rashoda za unos u SAP'!$M$3:$M$501,"=329")+SUMIFS('ANALITIKA EU PROJEKATA'!$G$3:$G$34,'ANALITIKA EU PROJEKATA'!$A$3:$A$34,"=41",'ANALITIKA EU PROJEKATA'!$P$3:$P$34,"=329")</f>
        <v>0</v>
      </c>
      <c r="I14" s="138">
        <f>SUMIFS('Plan rashoda za unos u SAP'!$I$3:$I$501,'Plan rashoda za unos u SAP'!$C$3:$C$501,"=43",'Plan rashoda za unos u SAP'!$M$3:$M$501,"=329")+SUMIFS('ANALITIKA EU PROJEKATA'!$G$3:$G$34,'ANALITIKA EU PROJEKATA'!$A$3:$A$34,"=43",'ANALITIKA EU PROJEKATA'!$P$3:$P$34,"=329")</f>
        <v>175000</v>
      </c>
      <c r="J14" s="138">
        <f>SUMIFS('Plan rashoda za unos u SAP'!$I$3:$I$501,'Plan rashoda za unos u SAP'!$C$3:$C$501,"=51",'Plan rashoda za unos u SAP'!$M$3:$M$501,"=329")+SUMIFS('ANALITIKA EU PROJEKATA'!$G$3:$G$34,'ANALITIKA EU PROJEKATA'!$A$3:$A$34,"=51",'ANALITIKA EU PROJEKATA'!$P$3:$P$34,"=329")</f>
        <v>0</v>
      </c>
      <c r="K14" s="138">
        <f>SUMIFS('Plan rashoda za unos u SAP'!$I$3:$I$501,'Plan rashoda za unos u SAP'!$C$3:$C$501,"=52",'Plan rashoda za unos u SAP'!$M$3:$M$501,"=329")+SUMIFS('ANALITIKA EU PROJEKATA'!$G$3:$G$34,'ANALITIKA EU PROJEKATA'!$A$3:$A$34,"=52",'ANALITIKA EU PROJEKATA'!$P$3:$P$34,"=329")</f>
        <v>0</v>
      </c>
      <c r="L14" s="138">
        <f>SUMIFS('Plan rashoda za unos u SAP'!$I$3:$I$501,'Plan rashoda za unos u SAP'!$C$3:$C$501,"=552",'Plan rashoda za unos u SAP'!$M$3:$M$501,"=329")+SUMIFS('ANALITIKA EU PROJEKATA'!$G$3:$G$34,'ANALITIKA EU PROJEKATA'!$A$3:$A$34,"=552",'ANALITIKA EU PROJEKATA'!$P$3:$P$34,"=329")</f>
        <v>0</v>
      </c>
      <c r="M14" s="138">
        <f>SUMIFS('Plan rashoda za unos u SAP'!$I$3:$I$501,'Plan rashoda za unos u SAP'!$C$3:$C$501,"=559",'Plan rashoda za unos u SAP'!$M$3:$M$501,"=329")+SUMIFS('ANALITIKA EU PROJEKATA'!$G$3:$G$34,'ANALITIKA EU PROJEKATA'!$A$3:$A$34,"=559",'ANALITIKA EU PROJEKATA'!$P$3:$P$34,"=329")</f>
        <v>0</v>
      </c>
      <c r="N14" s="138">
        <f>SUMIFS('Plan rashoda za unos u SAP'!$I$3:$I$501,'Plan rashoda za unos u SAP'!$C$3:$C$501,"=561",'Plan rashoda za unos u SAP'!$M$3:$M$501,"=329")+SUMIFS('ANALITIKA EU PROJEKATA'!$G$3:$G$34,'ANALITIKA EU PROJEKATA'!$A$3:$A$34,"=561",'ANALITIKA EU PROJEKATA'!$P$3:$P$34,"=329")</f>
        <v>0</v>
      </c>
      <c r="O14" s="138">
        <f>SUMIFS('Plan rashoda za unos u SAP'!$I$3:$I$501,'Plan rashoda za unos u SAP'!$C$3:$C$501,"=563",'Plan rashoda za unos u SAP'!$M$3:$M$501,"=329")+SUMIFS('ANALITIKA EU PROJEKATA'!$G$3:$G$34,'ANALITIKA EU PROJEKATA'!$A$3:$A$34,"=563",'ANALITIKA EU PROJEKATA'!$P$3:$P$34,"=329")</f>
        <v>0</v>
      </c>
      <c r="P14" s="138">
        <f>SUMIFS('Plan rashoda za unos u SAP'!$I$3:$I$501,'Plan rashoda za unos u SAP'!$C$3:$C$501,"=573",'Plan rashoda za unos u SAP'!$M$3:$M$501,"=329")+SUMIFS('ANALITIKA EU PROJEKATA'!$G$3:$G$34,'ANALITIKA EU PROJEKATA'!$A$3:$A$34,"=573",'ANALITIKA EU PROJEKATA'!$P$3:$P$34,"=329")</f>
        <v>0</v>
      </c>
      <c r="Q14" s="138">
        <f>SUMIFS('Plan rashoda za unos u SAP'!$I$3:$I$501,'Plan rashoda za unos u SAP'!$C$3:$C$501,"=575",'Plan rashoda za unos u SAP'!$M$3:$M$501,"=329")+SUMIFS('ANALITIKA EU PROJEKATA'!$G$3:$G$34,'ANALITIKA EU PROJEKATA'!$A$3:$A$34,"=575",'ANALITIKA EU PROJEKATA'!$P$3:$P$34,"=329")</f>
        <v>0</v>
      </c>
      <c r="R14" s="138">
        <f>SUMIFS('Plan rashoda za unos u SAP'!$I$3:$I$501,'Plan rashoda za unos u SAP'!$C$3:$C$501,"=576",'Plan rashoda za unos u SAP'!$M$3:$M$501,"=329")+SUMIFS('ANALITIKA EU PROJEKATA'!$G$3:$G$34,'ANALITIKA EU PROJEKATA'!$A$3:$A$34,"=576",'ANALITIKA EU PROJEKATA'!$P$3:$P$34,"=329")</f>
        <v>0</v>
      </c>
      <c r="S14" s="138">
        <f>SUMIFS('Plan rashoda za unos u SAP'!$I$3:$I$501,'Plan rashoda za unos u SAP'!$C$3:$C$501,"=581",'Plan rashoda za unos u SAP'!$M$3:$M$501,"=329")+SUMIFS('ANALITIKA EU PROJEKATA'!$G$3:$G$34,'ANALITIKA EU PROJEKATA'!$A$3:$A$34,"=581",'ANALITIKA EU PROJEKATA'!$P$3:$P$34,"=329")</f>
        <v>0</v>
      </c>
      <c r="T14" s="138">
        <f>SUMIFS('Plan rashoda za unos u SAP'!$I$3:$I$501,'Plan rashoda za unos u SAP'!$C$3:$C$501,"=61",'Plan rashoda za unos u SAP'!$M$3:$M$501,"=329")+SUMIFS('ANALITIKA EU PROJEKATA'!$G$3:$G$34,'ANALITIKA EU PROJEKATA'!$A$3:$A$34,"=61",'ANALITIKA EU PROJEKATA'!$P$3:$P$34,"=329")</f>
        <v>0</v>
      </c>
      <c r="U14" s="138">
        <f>SUMIFS('Plan rashoda za unos u SAP'!$I$3:$I$501,'Plan rashoda za unos u SAP'!$C$3:$C$501,"=63",'Plan rashoda za unos u SAP'!$M$3:$M$501,"=329")+SUMIFS('ANALITIKA EU PROJEKATA'!$G$3:$G$34,'ANALITIKA EU PROJEKATA'!$A$3:$A$34,"=63",'ANALITIKA EU PROJEKATA'!$P$3:$P$34,"=329")</f>
        <v>0</v>
      </c>
      <c r="V14" s="138">
        <f>SUMIFS('Plan rashoda za unos u SAP'!$I$3:$I$501,'Plan rashoda za unos u SAP'!$C$3:$C$501,"=71",'Plan rashoda za unos u SAP'!$M$3:$M$501,"=329")+SUMIFS('ANALITIKA EU PROJEKATA'!$G$3:$G$34,'ANALITIKA EU PROJEKATA'!$A$3:$A$34,"=71",'ANALITIKA EU PROJEKATA'!$P$3:$P$34,"=329")</f>
        <v>0</v>
      </c>
      <c r="W14" s="138">
        <f>SUMIFS('Plan rashoda za unos u SAP'!$I$3:$I$501,'Plan rashoda za unos u SAP'!$C$3:$C$501,"=81",'Plan rashoda za unos u SAP'!$M$3:$M$501,"=329")+SUMIFS('ANALITIKA EU PROJEKATA'!$G$3:$G$34,'ANALITIKA EU PROJEKATA'!$A$3:$A$34,"=81",'ANALITIKA EU PROJEKATA'!$P$3:$P$34,"=329")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5000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5000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PROJEKATA'!$G$3:$G$34,'ANALITIKA EU PROJEKATA'!$A$3:$A$34,"=11",'ANALITIKA EU PROJEKATA'!$P$3:$P$34,"=341")</f>
        <v>0</v>
      </c>
      <c r="F16" s="138">
        <f>SUMIFS('Plan rashoda za unos u SAP'!$I$3:$I$501,'Plan rashoda za unos u SAP'!$C$3:$C$501,"=12",'Plan rashoda za unos u SAP'!$M$3:$M$501,"=341")+SUMIFS('ANALITIKA EU PROJEKATA'!$G$3:$G$34,'ANALITIKA EU PROJEKATA'!$A$3:$A$34,"=12",'ANALITIKA EU PROJEKATA'!$P$3:$P$34,"=341")</f>
        <v>0</v>
      </c>
      <c r="G16" s="138">
        <f>SUMIFS('Plan rashoda za unos u SAP'!$I$3:$I$501,'Plan rashoda za unos u SAP'!$C$3:$C$501,"=31",'Plan rashoda za unos u SAP'!$M$3:$M$501,"=341")+SUMIFS('ANALITIKA EU PROJEKATA'!$G$3:$G$34,'ANALITIKA EU PROJEKATA'!$A$3:$A$34,"=31",'ANALITIKA EU PROJEKATA'!$P$3:$P$34,"=341")</f>
        <v>0</v>
      </c>
      <c r="H16" s="138">
        <f>SUMIFS('Plan rashoda za unos u SAP'!$I$3:$I$501,'Plan rashoda za unos u SAP'!$C$3:$C$501,"=41",'Plan rashoda za unos u SAP'!$M$3:$M$501,"=341")+SUMIFS('ANALITIKA EU PROJEKATA'!$G$3:$G$34,'ANALITIKA EU PROJEKATA'!$A$3:$A$34,"=41",'ANALITIKA EU PROJEKATA'!$P$3:$P$34,"=341")</f>
        <v>0</v>
      </c>
      <c r="I16" s="138">
        <f>SUMIFS('Plan rashoda za unos u SAP'!$I$3:$I$501,'Plan rashoda za unos u SAP'!$C$3:$C$501,"=43",'Plan rashoda za unos u SAP'!$M$3:$M$501,"=341")+SUMIFS('ANALITIKA EU PROJEKATA'!$G$3:$G$34,'ANALITIKA EU PROJEKATA'!$A$3:$A$34,"=43",'ANALITIKA EU PROJEKATA'!$P$3:$P$34,"=341")</f>
        <v>0</v>
      </c>
      <c r="J16" s="138">
        <f>SUMIFS('Plan rashoda za unos u SAP'!$I$3:$I$501,'Plan rashoda za unos u SAP'!$C$3:$C$501,"=51",'Plan rashoda za unos u SAP'!$M$3:$M$501,"=341")+SUMIFS('ANALITIKA EU PROJEKATA'!$G$3:$G$34,'ANALITIKA EU PROJEKATA'!$A$3:$A$34,"=51",'ANALITIKA EU PROJEKATA'!$P$3:$P$34,"=341")</f>
        <v>0</v>
      </c>
      <c r="K16" s="138">
        <f>SUMIFS('Plan rashoda za unos u SAP'!$I$3:$I$501,'Plan rashoda za unos u SAP'!$C$3:$C$501,"=52",'Plan rashoda za unos u SAP'!$M$3:$M$501,"=341")+SUMIFS('ANALITIKA EU PROJEKATA'!$G$3:$G$34,'ANALITIKA EU PROJEKATA'!$A$3:$A$34,"=52",'ANALITIKA EU PROJEKATA'!$P$3:$P$34,"=341")</f>
        <v>0</v>
      </c>
      <c r="L16" s="138">
        <f>SUMIFS('Plan rashoda za unos u SAP'!$I$3:$I$501,'Plan rashoda za unos u SAP'!$C$3:$C$501,"=552",'Plan rashoda za unos u SAP'!$M$3:$M$501,"=341")+SUMIFS('ANALITIKA EU PROJEKATA'!$G$3:$G$34,'ANALITIKA EU PROJEKATA'!$A$3:$A$34,"=552",'ANALITIKA EU PROJEKATA'!$P$3:$P$34,"=341")</f>
        <v>0</v>
      </c>
      <c r="M16" s="138">
        <f>SUMIFS('Plan rashoda za unos u SAP'!$I$3:$I$501,'Plan rashoda za unos u SAP'!$C$3:$C$501,"=559",'Plan rashoda za unos u SAP'!$M$3:$M$501,"=341")+SUMIFS('ANALITIKA EU PROJEKATA'!$G$3:$G$34,'ANALITIKA EU PROJEKATA'!$A$3:$A$34,"=559",'ANALITIKA EU PROJEKATA'!$P$3:$P$34,"=341")</f>
        <v>0</v>
      </c>
      <c r="N16" s="138">
        <f>SUMIFS('Plan rashoda za unos u SAP'!$I$3:$I$501,'Plan rashoda za unos u SAP'!$C$3:$C$501,"=561",'Plan rashoda za unos u SAP'!$M$3:$M$501,"=341")+SUMIFS('ANALITIKA EU PROJEKATA'!$G$3:$G$34,'ANALITIKA EU PROJEKATA'!$A$3:$A$34,"=561",'ANALITIKA EU PROJEKATA'!$P$3:$P$34,"=341")</f>
        <v>0</v>
      </c>
      <c r="O16" s="138">
        <f>SUMIFS('Plan rashoda za unos u SAP'!$I$3:$I$501,'Plan rashoda za unos u SAP'!$C$3:$C$501,"=563",'Plan rashoda za unos u SAP'!$M$3:$M$501,"=341")+SUMIFS('ANALITIKA EU PROJEKATA'!$G$3:$G$34,'ANALITIKA EU PROJEKATA'!$A$3:$A$34,"=563",'ANALITIKA EU PROJEKATA'!$P$3:$P$34,"=341")</f>
        <v>0</v>
      </c>
      <c r="P16" s="138">
        <f>SUMIFS('Plan rashoda za unos u SAP'!$I$3:$I$501,'Plan rashoda za unos u SAP'!$C$3:$C$501,"=573",'Plan rashoda za unos u SAP'!$M$3:$M$501,"=341")+SUMIFS('ANALITIKA EU PROJEKATA'!$G$3:$G$34,'ANALITIKA EU PROJEKATA'!$A$3:$A$34,"=573",'ANALITIKA EU PROJEKATA'!$P$3:$P$34,"=341")</f>
        <v>0</v>
      </c>
      <c r="Q16" s="138">
        <f>SUMIFS('Plan rashoda za unos u SAP'!$I$3:$I$501,'Plan rashoda za unos u SAP'!$C$3:$C$501,"=575",'Plan rashoda za unos u SAP'!$M$3:$M$501,"=341")+SUMIFS('ANALITIKA EU PROJEKATA'!$G$3:$G$34,'ANALITIKA EU PROJEKATA'!$A$3:$A$34,"=575",'ANALITIKA EU PROJEKATA'!$P$3:$P$34,"=341")</f>
        <v>0</v>
      </c>
      <c r="R16" s="138">
        <f>SUMIFS('Plan rashoda za unos u SAP'!$I$3:$I$501,'Plan rashoda za unos u SAP'!$C$3:$C$501,"=576",'Plan rashoda za unos u SAP'!$M$3:$M$501,"=341")+SUMIFS('ANALITIKA EU PROJEKATA'!$G$3:$G$34,'ANALITIKA EU PROJEKATA'!$A$3:$A$34,"=576",'ANALITIKA EU PROJEKATA'!$P$3:$P$34,"=341")</f>
        <v>0</v>
      </c>
      <c r="S16" s="138">
        <f>SUMIFS('Plan rashoda za unos u SAP'!$I$3:$I$501,'Plan rashoda za unos u SAP'!$C$3:$C$501,"=581",'Plan rashoda za unos u SAP'!$M$3:$M$501,"=341")+SUMIFS('ANALITIKA EU PROJEKATA'!$G$3:$G$34,'ANALITIKA EU PROJEKATA'!$A$3:$A$34,"=581",'ANALITIKA EU PROJEKATA'!$P$3:$P$34,"=341")</f>
        <v>0</v>
      </c>
      <c r="T16" s="138">
        <f>SUMIFS('Plan rashoda za unos u SAP'!$I$3:$I$501,'Plan rashoda za unos u SAP'!$C$3:$C$501,"=61",'Plan rashoda za unos u SAP'!$M$3:$M$501,"=341")+SUMIFS('ANALITIKA EU PROJEKATA'!$G$3:$G$34,'ANALITIKA EU PROJEKATA'!$A$3:$A$34,"=61",'ANALITIKA EU PROJEKATA'!$P$3:$P$34,"=341")</f>
        <v>0</v>
      </c>
      <c r="U16" s="138">
        <f>SUMIFS('Plan rashoda za unos u SAP'!$I$3:$I$501,'Plan rashoda za unos u SAP'!$C$3:$C$501,"=63",'Plan rashoda za unos u SAP'!$M$3:$M$501,"=341")+SUMIFS('ANALITIKA EU PROJEKATA'!$G$3:$G$34,'ANALITIKA EU PROJEKATA'!$A$3:$A$34,"=63",'ANALITIKA EU PROJEKATA'!$P$3:$P$34,"=341")</f>
        <v>0</v>
      </c>
      <c r="V16" s="138">
        <f>SUMIFS('Plan rashoda za unos u SAP'!$I$3:$I$501,'Plan rashoda za unos u SAP'!$C$3:$C$501,"=71",'Plan rashoda za unos u SAP'!$M$3:$M$501,"=341")+SUMIFS('ANALITIKA EU PROJEKATA'!$G$3:$G$34,'ANALITIKA EU PROJEKATA'!$A$3:$A$34,"=71",'ANALITIKA EU PROJEKATA'!$P$3:$P$34,"=341")</f>
        <v>0</v>
      </c>
      <c r="W16" s="138">
        <f>SUMIFS('Plan rashoda za unos u SAP'!$I$3:$I$501,'Plan rashoda za unos u SAP'!$C$3:$C$501,"=81",'Plan rashoda za unos u SAP'!$M$3:$M$501,"=341")+SUMIFS('ANALITIKA EU PROJEKATA'!$G$3:$G$34,'ANALITIKA EU PROJEKATA'!$A$3:$A$34,"=81",'ANALITIKA EU PROJEKATA'!$P$3:$P$34,"=341")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PROJEKATA'!$G$3:$G$34,'ANALITIKA EU PROJEKATA'!$A$3:$A$34,"=11",'ANALITIKA EU PROJEKATA'!$P$3:$P$34,"=342")</f>
        <v>0</v>
      </c>
      <c r="F17" s="138">
        <f>SUMIFS('Plan rashoda za unos u SAP'!$I$3:$I$501,'Plan rashoda za unos u SAP'!$C$3:$C$501,"=12",'Plan rashoda za unos u SAP'!$M$3:$M$501,"=342")+SUMIFS('ANALITIKA EU PROJEKATA'!$G$3:$G$34,'ANALITIKA EU PROJEKATA'!$A$3:$A$34,"=12",'ANALITIKA EU PROJEKATA'!$P$3:$P$34,"=342")</f>
        <v>0</v>
      </c>
      <c r="G17" s="138">
        <f>SUMIFS('Plan rashoda za unos u SAP'!$I$3:$I$501,'Plan rashoda za unos u SAP'!$C$3:$C$501,"=31",'Plan rashoda za unos u SAP'!$M$3:$M$501,"=342")+SUMIFS('ANALITIKA EU PROJEKATA'!$G$3:$G$34,'ANALITIKA EU PROJEKATA'!$A$3:$A$34,"=31",'ANALITIKA EU PROJEKATA'!$P$3:$P$34,"=342")</f>
        <v>0</v>
      </c>
      <c r="H17" s="138">
        <f>SUMIFS('Plan rashoda za unos u SAP'!$I$3:$I$501,'Plan rashoda za unos u SAP'!$C$3:$C$501,"=41",'Plan rashoda za unos u SAP'!$M$3:$M$501,"=342")+SUMIFS('ANALITIKA EU PROJEKATA'!$G$3:$G$34,'ANALITIKA EU PROJEKATA'!$A$3:$A$34,"=41",'ANALITIKA EU PROJEKATA'!$P$3:$P$34,"=342")</f>
        <v>0</v>
      </c>
      <c r="I17" s="138">
        <f>SUMIFS('Plan rashoda za unos u SAP'!$I$3:$I$501,'Plan rashoda za unos u SAP'!$C$3:$C$501,"=43",'Plan rashoda za unos u SAP'!$M$3:$M$501,"=342")+SUMIFS('ANALITIKA EU PROJEKATA'!$G$3:$G$34,'ANALITIKA EU PROJEKATA'!$A$3:$A$34,"=43",'ANALITIKA EU PROJEKATA'!$P$3:$P$34,"=342")</f>
        <v>0</v>
      </c>
      <c r="J17" s="138">
        <f>SUMIFS('Plan rashoda za unos u SAP'!$I$3:$I$501,'Plan rashoda za unos u SAP'!$C$3:$C$501,"=51",'Plan rashoda za unos u SAP'!$M$3:$M$501,"=342")+SUMIFS('ANALITIKA EU PROJEKATA'!$G$3:$G$34,'ANALITIKA EU PROJEKATA'!$A$3:$A$34,"=51",'ANALITIKA EU PROJEKATA'!$P$3:$P$34,"=342")</f>
        <v>0</v>
      </c>
      <c r="K17" s="138">
        <f>SUMIFS('Plan rashoda za unos u SAP'!$I$3:$I$501,'Plan rashoda za unos u SAP'!$C$3:$C$501,"=52",'Plan rashoda za unos u SAP'!$M$3:$M$501,"=342")+SUMIFS('ANALITIKA EU PROJEKATA'!$G$3:$G$34,'ANALITIKA EU PROJEKATA'!$A$3:$A$34,"=52",'ANALITIKA EU PROJEKATA'!$P$3:$P$34,"=342")</f>
        <v>0</v>
      </c>
      <c r="L17" s="138">
        <f>SUMIFS('Plan rashoda za unos u SAP'!$I$3:$I$501,'Plan rashoda za unos u SAP'!$C$3:$C$501,"=552",'Plan rashoda za unos u SAP'!$M$3:$M$501,"=342")+SUMIFS('ANALITIKA EU PROJEKATA'!$G$3:$G$34,'ANALITIKA EU PROJEKATA'!$A$3:$A$34,"=552",'ANALITIKA EU PROJEKATA'!$P$3:$P$34,"=342")</f>
        <v>0</v>
      </c>
      <c r="M17" s="138">
        <f>SUMIFS('Plan rashoda za unos u SAP'!$I$3:$I$501,'Plan rashoda za unos u SAP'!$C$3:$C$501,"=559",'Plan rashoda za unos u SAP'!$M$3:$M$501,"=342")+SUMIFS('ANALITIKA EU PROJEKATA'!$G$3:$G$34,'ANALITIKA EU PROJEKATA'!$A$3:$A$34,"=559",'ANALITIKA EU PROJEKATA'!$P$3:$P$34,"=342")</f>
        <v>0</v>
      </c>
      <c r="N17" s="138">
        <f>SUMIFS('Plan rashoda za unos u SAP'!$I$3:$I$501,'Plan rashoda za unos u SAP'!$C$3:$C$501,"=561",'Plan rashoda za unos u SAP'!$M$3:$M$501,"=342")+SUMIFS('ANALITIKA EU PROJEKATA'!$G$3:$G$34,'ANALITIKA EU PROJEKATA'!$A$3:$A$34,"=561",'ANALITIKA EU PROJEKATA'!$P$3:$P$34,"=342")</f>
        <v>0</v>
      </c>
      <c r="O17" s="138">
        <f>SUMIFS('Plan rashoda za unos u SAP'!$I$3:$I$501,'Plan rashoda za unos u SAP'!$C$3:$C$501,"=563",'Plan rashoda za unos u SAP'!$M$3:$M$501,"=342")+SUMIFS('ANALITIKA EU PROJEKATA'!$G$3:$G$34,'ANALITIKA EU PROJEKATA'!$A$3:$A$34,"=563",'ANALITIKA EU PROJEKATA'!$P$3:$P$34,"=342")</f>
        <v>0</v>
      </c>
      <c r="P17" s="138">
        <f>SUMIFS('Plan rashoda za unos u SAP'!$I$3:$I$501,'Plan rashoda za unos u SAP'!$C$3:$C$501,"=573",'Plan rashoda za unos u SAP'!$M$3:$M$501,"=342")+SUMIFS('ANALITIKA EU PROJEKATA'!$G$3:$G$34,'ANALITIKA EU PROJEKATA'!$A$3:$A$34,"=573",'ANALITIKA EU PROJEKATA'!$P$3:$P$34,"=342")</f>
        <v>0</v>
      </c>
      <c r="Q17" s="138">
        <f>SUMIFS('Plan rashoda za unos u SAP'!$I$3:$I$501,'Plan rashoda za unos u SAP'!$C$3:$C$501,"=575",'Plan rashoda za unos u SAP'!$M$3:$M$501,"=342")+SUMIFS('ANALITIKA EU PROJEKATA'!$G$3:$G$34,'ANALITIKA EU PROJEKATA'!$A$3:$A$34,"=575",'ANALITIKA EU PROJEKATA'!$P$3:$P$34,"=342")</f>
        <v>0</v>
      </c>
      <c r="R17" s="138">
        <f>SUMIFS('Plan rashoda za unos u SAP'!$I$3:$I$501,'Plan rashoda za unos u SAP'!$C$3:$C$501,"=576",'Plan rashoda za unos u SAP'!$M$3:$M$501,"=342")+SUMIFS('ANALITIKA EU PROJEKATA'!$G$3:$G$34,'ANALITIKA EU PROJEKATA'!$A$3:$A$34,"=576",'ANALITIKA EU PROJEKATA'!$P$3:$P$34,"=342")</f>
        <v>0</v>
      </c>
      <c r="S17" s="138">
        <f>SUMIFS('Plan rashoda za unos u SAP'!$I$3:$I$501,'Plan rashoda za unos u SAP'!$C$3:$C$501,"=581",'Plan rashoda za unos u SAP'!$M$3:$M$501,"=342")+SUMIFS('ANALITIKA EU PROJEKATA'!$G$3:$G$34,'ANALITIKA EU PROJEKATA'!$A$3:$A$34,"=581",'ANALITIKA EU PROJEKATA'!$P$3:$P$34,"=342")</f>
        <v>0</v>
      </c>
      <c r="T17" s="138">
        <f>SUMIFS('Plan rashoda za unos u SAP'!$I$3:$I$501,'Plan rashoda za unos u SAP'!$C$3:$C$501,"=61",'Plan rashoda za unos u SAP'!$M$3:$M$501,"=342")+SUMIFS('ANALITIKA EU PROJEKATA'!$G$3:$G$34,'ANALITIKA EU PROJEKATA'!$A$3:$A$34,"=61",'ANALITIKA EU PROJEKATA'!$P$3:$P$34,"=342")</f>
        <v>0</v>
      </c>
      <c r="U17" s="138">
        <f>SUMIFS('Plan rashoda za unos u SAP'!$I$3:$I$501,'Plan rashoda za unos u SAP'!$C$3:$C$501,"=63",'Plan rashoda za unos u SAP'!$M$3:$M$501,"=342")+SUMIFS('ANALITIKA EU PROJEKATA'!$G$3:$G$34,'ANALITIKA EU PROJEKATA'!$A$3:$A$34,"=63",'ANALITIKA EU PROJEKATA'!$P$3:$P$34,"=342")</f>
        <v>0</v>
      </c>
      <c r="V17" s="138">
        <f>SUMIFS('Plan rashoda za unos u SAP'!$I$3:$I$501,'Plan rashoda za unos u SAP'!$C$3:$C$501,"=71",'Plan rashoda za unos u SAP'!$M$3:$M$501,"=342")+SUMIFS('ANALITIKA EU PROJEKATA'!$G$3:$G$34,'ANALITIKA EU PROJEKATA'!$A$3:$A$34,"=71",'ANALITIKA EU PROJEKATA'!$P$3:$P$34,"=342")</f>
        <v>0</v>
      </c>
      <c r="W17" s="138">
        <f>SUMIFS('Plan rashoda za unos u SAP'!$I$3:$I$501,'Plan rashoda za unos u SAP'!$C$3:$C$501,"=81",'Plan rashoda za unos u SAP'!$M$3:$M$501,"=342")+SUMIFS('ANALITIKA EU PROJEKATA'!$G$3:$G$34,'ANALITIKA EU PROJEKATA'!$A$3:$A$34,"=81",'ANALITIKA EU PROJEKATA'!$P$3:$P$34,"=342")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5000</v>
      </c>
      <c r="E18" s="138">
        <f>SUMIFS('Plan rashoda za unos u SAP'!$I$3:$I$501,'Plan rashoda za unos u SAP'!$C$3:$C$501,"=11",'Plan rashoda za unos u SAP'!$M$3:$M$501,"=343")+SUMIFS('ANALITIKA EU PROJEKATA'!$G$3:$G$34,'ANALITIKA EU PROJEKATA'!$A$3:$A$34,"=11",'ANALITIKA EU PROJEKATA'!$P$3:$P$34,"=343")</f>
        <v>0</v>
      </c>
      <c r="F18" s="138">
        <f>SUMIFS('Plan rashoda za unos u SAP'!$I$3:$I$501,'Plan rashoda za unos u SAP'!$C$3:$C$501,"=12",'Plan rashoda za unos u SAP'!$M$3:$M$501,"=343")+SUMIFS('ANALITIKA EU PROJEKATA'!$G$3:$G$34,'ANALITIKA EU PROJEKATA'!$A$3:$A$34,"=12",'ANALITIKA EU PROJEKATA'!$P$3:$P$34,"=343")</f>
        <v>0</v>
      </c>
      <c r="G18" s="138">
        <f>SUMIFS('Plan rashoda za unos u SAP'!$I$3:$I$501,'Plan rashoda za unos u SAP'!$C$3:$C$501,"=31",'Plan rashoda za unos u SAP'!$M$3:$M$501,"=343")+SUMIFS('ANALITIKA EU PROJEKATA'!$G$3:$G$34,'ANALITIKA EU PROJEKATA'!$A$3:$A$34,"=31",'ANALITIKA EU PROJEKATA'!$P$3:$P$34,"=343")</f>
        <v>0</v>
      </c>
      <c r="H18" s="138">
        <f>SUMIFS('Plan rashoda za unos u SAP'!$I$3:$I$501,'Plan rashoda za unos u SAP'!$C$3:$C$501,"=41",'Plan rashoda za unos u SAP'!$M$3:$M$501,"=343")+SUMIFS('ANALITIKA EU PROJEKATA'!$G$3:$G$34,'ANALITIKA EU PROJEKATA'!$A$3:$A$34,"=41",'ANALITIKA EU PROJEKATA'!$P$3:$P$34,"=343")</f>
        <v>0</v>
      </c>
      <c r="I18" s="138">
        <f>SUMIFS('Plan rashoda za unos u SAP'!$I$3:$I$501,'Plan rashoda za unos u SAP'!$C$3:$C$501,"=43",'Plan rashoda za unos u SAP'!$M$3:$M$501,"=343")+SUMIFS('ANALITIKA EU PROJEKATA'!$G$3:$G$34,'ANALITIKA EU PROJEKATA'!$A$3:$A$34,"=43",'ANALITIKA EU PROJEKATA'!$P$3:$P$34,"=343")</f>
        <v>5000</v>
      </c>
      <c r="J18" s="138">
        <f>SUMIFS('Plan rashoda za unos u SAP'!$I$3:$I$501,'Plan rashoda za unos u SAP'!$C$3:$C$501,"=51",'Plan rashoda za unos u SAP'!$M$3:$M$501,"=343")+SUMIFS('ANALITIKA EU PROJEKATA'!$G$3:$G$34,'ANALITIKA EU PROJEKATA'!$A$3:$A$34,"=51",'ANALITIKA EU PROJEKATA'!$P$3:$P$34,"=343")</f>
        <v>0</v>
      </c>
      <c r="K18" s="138">
        <f>SUMIFS('Plan rashoda za unos u SAP'!$I$3:$I$501,'Plan rashoda za unos u SAP'!$C$3:$C$501,"=52",'Plan rashoda za unos u SAP'!$M$3:$M$501,"=343")+SUMIFS('ANALITIKA EU PROJEKATA'!$G$3:$G$34,'ANALITIKA EU PROJEKATA'!$A$3:$A$34,"=52",'ANALITIKA EU PROJEKATA'!$P$3:$P$34,"=343")</f>
        <v>0</v>
      </c>
      <c r="L18" s="138">
        <f>SUMIFS('Plan rashoda za unos u SAP'!$I$3:$I$501,'Plan rashoda za unos u SAP'!$C$3:$C$501,"=552",'Plan rashoda za unos u SAP'!$M$3:$M$501,"=343")+SUMIFS('ANALITIKA EU PROJEKATA'!$G$3:$G$34,'ANALITIKA EU PROJEKATA'!$A$3:$A$34,"=552",'ANALITIKA EU PROJEKATA'!$P$3:$P$34,"=343")</f>
        <v>0</v>
      </c>
      <c r="M18" s="138">
        <f>SUMIFS('Plan rashoda za unos u SAP'!$I$3:$I$501,'Plan rashoda za unos u SAP'!$C$3:$C$501,"=559",'Plan rashoda za unos u SAP'!$M$3:$M$501,"=343")+SUMIFS('ANALITIKA EU PROJEKATA'!$G$3:$G$34,'ANALITIKA EU PROJEKATA'!$A$3:$A$34,"=559",'ANALITIKA EU PROJEKATA'!$P$3:$P$34,"=343")</f>
        <v>0</v>
      </c>
      <c r="N18" s="138">
        <f>SUMIFS('Plan rashoda za unos u SAP'!$I$3:$I$501,'Plan rashoda za unos u SAP'!$C$3:$C$501,"=561",'Plan rashoda za unos u SAP'!$M$3:$M$501,"=343")+SUMIFS('ANALITIKA EU PROJEKATA'!$G$3:$G$34,'ANALITIKA EU PROJEKATA'!$A$3:$A$34,"=561",'ANALITIKA EU PROJEKATA'!$P$3:$P$34,"=343")</f>
        <v>0</v>
      </c>
      <c r="O18" s="138">
        <f>SUMIFS('Plan rashoda za unos u SAP'!$I$3:$I$501,'Plan rashoda za unos u SAP'!$C$3:$C$501,"=563",'Plan rashoda za unos u SAP'!$M$3:$M$501,"=343")+SUMIFS('ANALITIKA EU PROJEKATA'!$G$3:$G$34,'ANALITIKA EU PROJEKATA'!$A$3:$A$34,"=563",'ANALITIKA EU PROJEKATA'!$P$3:$P$34,"=343")</f>
        <v>0</v>
      </c>
      <c r="P18" s="138">
        <f>SUMIFS('Plan rashoda za unos u SAP'!$I$3:$I$501,'Plan rashoda za unos u SAP'!$C$3:$C$501,"=573",'Plan rashoda za unos u SAP'!$M$3:$M$501,"=343")+SUMIFS('ANALITIKA EU PROJEKATA'!$G$3:$G$34,'ANALITIKA EU PROJEKATA'!$A$3:$A$34,"=573",'ANALITIKA EU PROJEKATA'!$P$3:$P$34,"=343")</f>
        <v>0</v>
      </c>
      <c r="Q18" s="138">
        <f>SUMIFS('Plan rashoda za unos u SAP'!$I$3:$I$501,'Plan rashoda za unos u SAP'!$C$3:$C$501,"=575",'Plan rashoda za unos u SAP'!$M$3:$M$501,"=343")+SUMIFS('ANALITIKA EU PROJEKATA'!$G$3:$G$34,'ANALITIKA EU PROJEKATA'!$A$3:$A$34,"=575",'ANALITIKA EU PROJEKATA'!$P$3:$P$34,"=343")</f>
        <v>0</v>
      </c>
      <c r="R18" s="138">
        <f>SUMIFS('Plan rashoda za unos u SAP'!$I$3:$I$501,'Plan rashoda za unos u SAP'!$C$3:$C$501,"=576",'Plan rashoda za unos u SAP'!$M$3:$M$501,"=343")+SUMIFS('ANALITIKA EU PROJEKATA'!$G$3:$G$34,'ANALITIKA EU PROJEKATA'!$A$3:$A$34,"=576",'ANALITIKA EU PROJEKATA'!$P$3:$P$34,"=343")</f>
        <v>0</v>
      </c>
      <c r="S18" s="138">
        <f>SUMIFS('Plan rashoda za unos u SAP'!$I$3:$I$501,'Plan rashoda za unos u SAP'!$C$3:$C$501,"=581",'Plan rashoda za unos u SAP'!$M$3:$M$501,"=343")+SUMIFS('ANALITIKA EU PROJEKATA'!$G$3:$G$34,'ANALITIKA EU PROJEKATA'!$A$3:$A$34,"=581",'ANALITIKA EU PROJEKATA'!$P$3:$P$34,"=343")</f>
        <v>0</v>
      </c>
      <c r="T18" s="138">
        <f>SUMIFS('Plan rashoda za unos u SAP'!$I$3:$I$501,'Plan rashoda za unos u SAP'!$C$3:$C$501,"=61",'Plan rashoda za unos u SAP'!$M$3:$M$501,"=343")+SUMIFS('ANALITIKA EU PROJEKATA'!$G$3:$G$34,'ANALITIKA EU PROJEKATA'!$A$3:$A$34,"=61",'ANALITIKA EU PROJEKATA'!$P$3:$P$34,"=343")</f>
        <v>0</v>
      </c>
      <c r="U18" s="138">
        <f>SUMIFS('Plan rashoda za unos u SAP'!$I$3:$I$501,'Plan rashoda za unos u SAP'!$C$3:$C$501,"=63",'Plan rashoda za unos u SAP'!$M$3:$M$501,"=343")+SUMIFS('ANALITIKA EU PROJEKATA'!$G$3:$G$34,'ANALITIKA EU PROJEKATA'!$A$3:$A$34,"=63",'ANALITIKA EU PROJEKATA'!$P$3:$P$34,"=343")</f>
        <v>0</v>
      </c>
      <c r="V18" s="138">
        <f>SUMIFS('Plan rashoda za unos u SAP'!$I$3:$I$501,'Plan rashoda za unos u SAP'!$C$3:$C$501,"=71",'Plan rashoda za unos u SAP'!$M$3:$M$501,"=343")+SUMIFS('ANALITIKA EU PROJEKATA'!$G$3:$G$34,'ANALITIKA EU PROJEKATA'!$A$3:$A$34,"=71",'ANALITIKA EU PROJEKATA'!$P$3:$P$34,"=343")</f>
        <v>0</v>
      </c>
      <c r="W18" s="138">
        <f>SUMIFS('Plan rashoda za unos u SAP'!$I$3:$I$501,'Plan rashoda za unos u SAP'!$C$3:$C$501,"=81",'Plan rashoda za unos u SAP'!$M$3:$M$501,"=343")+SUMIFS('ANALITIKA EU PROJEKATA'!$G$3:$G$34,'ANALITIKA EU PROJEKATA'!$A$3:$A$34,"=81",'ANALITIKA EU PROJEKATA'!$P$3:$P$34,"=343")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PROJEKATA'!$G$3:$G$34,'ANALITIKA EU PROJEKATA'!$A$3:$A$34,"=11",'ANALITIKA EU PROJEKATA'!$P$3:$P$34,"=351")</f>
        <v>0</v>
      </c>
      <c r="F20" s="138">
        <f>SUMIFS('Plan rashoda za unos u SAP'!$I$3:$I$501,'Plan rashoda za unos u SAP'!$C$3:$C$501,"=12",'Plan rashoda za unos u SAP'!$M$3:$M$501,"=351")+SUMIFS('ANALITIKA EU PROJEKATA'!$G$3:$G$34,'ANALITIKA EU PROJEKATA'!$A$3:$A$34,"=12",'ANALITIKA EU PROJEKATA'!$P$3:$P$34,"=351")</f>
        <v>0</v>
      </c>
      <c r="G20" s="138">
        <f>SUMIFS('Plan rashoda za unos u SAP'!$I$3:$I$501,'Plan rashoda za unos u SAP'!$C$3:$C$501,"=31",'Plan rashoda za unos u SAP'!$M$3:$M$501,"=351")+SUMIFS('ANALITIKA EU PROJEKATA'!$G$3:$G$34,'ANALITIKA EU PROJEKATA'!$A$3:$A$34,"=31",'ANALITIKA EU PROJEKATA'!$P$3:$P$34,"=351")</f>
        <v>0</v>
      </c>
      <c r="H20" s="138">
        <f>SUMIFS('Plan rashoda za unos u SAP'!$I$3:$I$501,'Plan rashoda za unos u SAP'!$C$3:$C$501,"=41",'Plan rashoda za unos u SAP'!$M$3:$M$501,"=351")+SUMIFS('ANALITIKA EU PROJEKATA'!$G$3:$G$34,'ANALITIKA EU PROJEKATA'!$A$3:$A$34,"=41",'ANALITIKA EU PROJEKATA'!$P$3:$P$34,"=351")</f>
        <v>0</v>
      </c>
      <c r="I20" s="138">
        <f>SUMIFS('Plan rashoda za unos u SAP'!$I$3:$I$501,'Plan rashoda za unos u SAP'!$C$3:$C$501,"=43",'Plan rashoda za unos u SAP'!$M$3:$M$501,"=351")+SUMIFS('ANALITIKA EU PROJEKATA'!$G$3:$G$34,'ANALITIKA EU PROJEKATA'!$A$3:$A$34,"=43",'ANALITIKA EU PROJEKATA'!$P$3:$P$34,"=351")</f>
        <v>0</v>
      </c>
      <c r="J20" s="138">
        <f>SUMIFS('Plan rashoda za unos u SAP'!$I$3:$I$501,'Plan rashoda za unos u SAP'!$C$3:$C$501,"=51",'Plan rashoda za unos u SAP'!$M$3:$M$501,"=351")+SUMIFS('ANALITIKA EU PROJEKATA'!$G$3:$G$34,'ANALITIKA EU PROJEKATA'!$A$3:$A$34,"=51",'ANALITIKA EU PROJEKATA'!$P$3:$P$34,"=351")</f>
        <v>0</v>
      </c>
      <c r="K20" s="138">
        <f>SUMIFS('Plan rashoda za unos u SAP'!$I$3:$I$501,'Plan rashoda za unos u SAP'!$C$3:$C$501,"=52",'Plan rashoda za unos u SAP'!$M$3:$M$501,"=351")+SUMIFS('ANALITIKA EU PROJEKATA'!$G$3:$G$34,'ANALITIKA EU PROJEKATA'!$A$3:$A$34,"=52",'ANALITIKA EU PROJEKATA'!$P$3:$P$34,"=351")</f>
        <v>0</v>
      </c>
      <c r="L20" s="138">
        <f>SUMIFS('Plan rashoda za unos u SAP'!$I$3:$I$501,'Plan rashoda za unos u SAP'!$C$3:$C$501,"=552",'Plan rashoda za unos u SAP'!$M$3:$M$501,"=351")+SUMIFS('ANALITIKA EU PROJEKATA'!$G$3:$G$34,'ANALITIKA EU PROJEKATA'!$A$3:$A$34,"=552",'ANALITIKA EU PROJEKATA'!$P$3:$P$34,"=351")</f>
        <v>0</v>
      </c>
      <c r="M20" s="138">
        <f>SUMIFS('Plan rashoda za unos u SAP'!$I$3:$I$501,'Plan rashoda za unos u SAP'!$C$3:$C$501,"=559",'Plan rashoda za unos u SAP'!$M$3:$M$501,"=351")+SUMIFS('ANALITIKA EU PROJEKATA'!$G$3:$G$34,'ANALITIKA EU PROJEKATA'!$A$3:$A$34,"=559",'ANALITIKA EU PROJEKATA'!$P$3:$P$34,"=351")</f>
        <v>0</v>
      </c>
      <c r="N20" s="138">
        <f>SUMIFS('Plan rashoda za unos u SAP'!$I$3:$I$501,'Plan rashoda za unos u SAP'!$C$3:$C$501,"=561",'Plan rashoda za unos u SAP'!$M$3:$M$501,"=351")+SUMIFS('ANALITIKA EU PROJEKATA'!$G$3:$G$34,'ANALITIKA EU PROJEKATA'!$A$3:$A$34,"=561",'ANALITIKA EU PROJEKATA'!$P$3:$P$34,"=351")</f>
        <v>0</v>
      </c>
      <c r="O20" s="138">
        <f>SUMIFS('Plan rashoda za unos u SAP'!$I$3:$I$501,'Plan rashoda za unos u SAP'!$C$3:$C$501,"=563",'Plan rashoda za unos u SAP'!$M$3:$M$501,"=351")+SUMIFS('ANALITIKA EU PROJEKATA'!$G$3:$G$34,'ANALITIKA EU PROJEKATA'!$A$3:$A$34,"=563",'ANALITIKA EU PROJEKATA'!$P$3:$P$34,"=351")</f>
        <v>0</v>
      </c>
      <c r="P20" s="138">
        <f>SUMIFS('Plan rashoda za unos u SAP'!$I$3:$I$501,'Plan rashoda za unos u SAP'!$C$3:$C$501,"=573",'Plan rashoda za unos u SAP'!$M$3:$M$501,"=351")+SUMIFS('ANALITIKA EU PROJEKATA'!$G$3:$G$34,'ANALITIKA EU PROJEKATA'!$A$3:$A$34,"=573",'ANALITIKA EU PROJEKATA'!$P$3:$P$34,"=351")</f>
        <v>0</v>
      </c>
      <c r="Q20" s="138">
        <f>SUMIFS('Plan rashoda za unos u SAP'!$I$3:$I$501,'Plan rashoda za unos u SAP'!$C$3:$C$501,"=575",'Plan rashoda za unos u SAP'!$M$3:$M$501,"=351")+SUMIFS('ANALITIKA EU PROJEKATA'!$G$3:$G$34,'ANALITIKA EU PROJEKATA'!$A$3:$A$34,"=575",'ANALITIKA EU PROJEKATA'!$P$3:$P$34,"=351")</f>
        <v>0</v>
      </c>
      <c r="R20" s="138">
        <f>SUMIFS('Plan rashoda za unos u SAP'!$I$3:$I$501,'Plan rashoda za unos u SAP'!$C$3:$C$501,"=576",'Plan rashoda za unos u SAP'!$M$3:$M$501,"=351")+SUMIFS('ANALITIKA EU PROJEKATA'!$G$3:$G$34,'ANALITIKA EU PROJEKATA'!$A$3:$A$34,"=576",'ANALITIKA EU PROJEKATA'!$P$3:$P$34,"=351")</f>
        <v>0</v>
      </c>
      <c r="S20" s="138">
        <f>SUMIFS('Plan rashoda za unos u SAP'!$I$3:$I$501,'Plan rashoda za unos u SAP'!$C$3:$C$501,"=581",'Plan rashoda za unos u SAP'!$M$3:$M$501,"=351")+SUMIFS('ANALITIKA EU PROJEKATA'!$G$3:$G$34,'ANALITIKA EU PROJEKATA'!$A$3:$A$34,"=581",'ANALITIKA EU PROJEKATA'!$P$3:$P$34,"=351")</f>
        <v>0</v>
      </c>
      <c r="T20" s="138">
        <f>SUMIFS('Plan rashoda za unos u SAP'!$I$3:$I$501,'Plan rashoda za unos u SAP'!$C$3:$C$501,"=61",'Plan rashoda za unos u SAP'!$M$3:$M$501,"=351")+SUMIFS('ANALITIKA EU PROJEKATA'!$G$3:$G$34,'ANALITIKA EU PROJEKATA'!$A$3:$A$34,"=61",'ANALITIKA EU PROJEKATA'!$P$3:$P$34,"=351")</f>
        <v>0</v>
      </c>
      <c r="U20" s="138">
        <f>SUMIFS('Plan rashoda za unos u SAP'!$I$3:$I$501,'Plan rashoda za unos u SAP'!$C$3:$C$501,"=63",'Plan rashoda za unos u SAP'!$M$3:$M$501,"=351")+SUMIFS('ANALITIKA EU PROJEKATA'!$G$3:$G$34,'ANALITIKA EU PROJEKATA'!$A$3:$A$34,"=63",'ANALITIKA EU PROJEKATA'!$P$3:$P$34,"=351")</f>
        <v>0</v>
      </c>
      <c r="V20" s="138">
        <f>SUMIFS('Plan rashoda za unos u SAP'!$I$3:$I$501,'Plan rashoda za unos u SAP'!$C$3:$C$501,"=71",'Plan rashoda za unos u SAP'!$M$3:$M$501,"=351")+SUMIFS('ANALITIKA EU PROJEKATA'!$G$3:$G$34,'ANALITIKA EU PROJEKATA'!$A$3:$A$34,"=71",'ANALITIKA EU PROJEKATA'!$P$3:$P$34,"=351")</f>
        <v>0</v>
      </c>
      <c r="W20" s="138">
        <f>SUMIFS('Plan rashoda za unos u SAP'!$I$3:$I$501,'Plan rashoda za unos u SAP'!$C$3:$C$501,"=81",'Plan rashoda za unos u SAP'!$M$3:$M$501,"=351")+SUMIFS('ANALITIKA EU PROJEKATA'!$G$3:$G$34,'ANALITIKA EU PROJEKATA'!$A$3:$A$34,"=81",'ANALITIKA EU PROJEKATA'!$P$3:$P$34,"=351")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PROJEKATA'!$G$3:$G$34,'ANALITIKA EU PROJEKATA'!$A$3:$A$34,"=11",'ANALITIKA EU PROJEKATA'!$P$3:$P$34,"=352")</f>
        <v>0</v>
      </c>
      <c r="F21" s="138">
        <f>SUMIFS('Plan rashoda za unos u SAP'!$I$3:$I$501,'Plan rashoda za unos u SAP'!$C$3:$C$501,"=12",'Plan rashoda za unos u SAP'!$M$3:$M$501,"=352")+SUMIFS('ANALITIKA EU PROJEKATA'!$G$3:$G$34,'ANALITIKA EU PROJEKATA'!$A$3:$A$34,"=12",'ANALITIKA EU PROJEKATA'!$P$3:$P$34,"=352")</f>
        <v>0</v>
      </c>
      <c r="G21" s="138">
        <f>SUMIFS('Plan rashoda za unos u SAP'!$I$3:$I$501,'Plan rashoda za unos u SAP'!$C$3:$C$501,"=31",'Plan rashoda za unos u SAP'!$M$3:$M$501,"=352")+SUMIFS('ANALITIKA EU PROJEKATA'!$G$3:$G$34,'ANALITIKA EU PROJEKATA'!$A$3:$A$34,"=31",'ANALITIKA EU PROJEKATA'!$P$3:$P$34,"=352")</f>
        <v>0</v>
      </c>
      <c r="H21" s="138">
        <f>SUMIFS('Plan rashoda za unos u SAP'!$I$3:$I$501,'Plan rashoda za unos u SAP'!$C$3:$C$501,"=41",'Plan rashoda za unos u SAP'!$M$3:$M$501,"=352")+SUMIFS('ANALITIKA EU PROJEKATA'!$G$3:$G$34,'ANALITIKA EU PROJEKATA'!$A$3:$A$34,"=41",'ANALITIKA EU PROJEKATA'!$P$3:$P$34,"=352")</f>
        <v>0</v>
      </c>
      <c r="I21" s="138">
        <f>SUMIFS('Plan rashoda za unos u SAP'!$I$3:$I$501,'Plan rashoda za unos u SAP'!$C$3:$C$501,"=43",'Plan rashoda za unos u SAP'!$M$3:$M$501,"=352")+SUMIFS('ANALITIKA EU PROJEKATA'!$G$3:$G$34,'ANALITIKA EU PROJEKATA'!$A$3:$A$34,"=43",'ANALITIKA EU PROJEKATA'!$P$3:$P$34,"=352")</f>
        <v>0</v>
      </c>
      <c r="J21" s="138">
        <f>SUMIFS('Plan rashoda za unos u SAP'!$I$3:$I$501,'Plan rashoda za unos u SAP'!$C$3:$C$501,"=51",'Plan rashoda za unos u SAP'!$M$3:$M$501,"=352")+SUMIFS('ANALITIKA EU PROJEKATA'!$G$3:$G$34,'ANALITIKA EU PROJEKATA'!$A$3:$A$34,"=51",'ANALITIKA EU PROJEKATA'!$P$3:$P$34,"=352")</f>
        <v>0</v>
      </c>
      <c r="K21" s="138">
        <f>SUMIFS('Plan rashoda za unos u SAP'!$I$3:$I$501,'Plan rashoda za unos u SAP'!$C$3:$C$501,"=52",'Plan rashoda za unos u SAP'!$M$3:$M$501,"=352")+SUMIFS('ANALITIKA EU PROJEKATA'!$G$3:$G$34,'ANALITIKA EU PROJEKATA'!$A$3:$A$34,"=52",'ANALITIKA EU PROJEKATA'!$P$3:$P$34,"=352")</f>
        <v>0</v>
      </c>
      <c r="L21" s="138">
        <f>SUMIFS('Plan rashoda za unos u SAP'!$I$3:$I$501,'Plan rashoda za unos u SAP'!$C$3:$C$501,"=552",'Plan rashoda za unos u SAP'!$M$3:$M$501,"=352")+SUMIFS('ANALITIKA EU PROJEKATA'!$G$3:$G$34,'ANALITIKA EU PROJEKATA'!$A$3:$A$34,"=552",'ANALITIKA EU PROJEKATA'!$P$3:$P$34,"=352")</f>
        <v>0</v>
      </c>
      <c r="M21" s="138">
        <f>SUMIFS('Plan rashoda za unos u SAP'!$I$3:$I$501,'Plan rashoda za unos u SAP'!$C$3:$C$501,"=559",'Plan rashoda za unos u SAP'!$M$3:$M$501,"=352")+SUMIFS('ANALITIKA EU PROJEKATA'!$G$3:$G$34,'ANALITIKA EU PROJEKATA'!$A$3:$A$34,"=559",'ANALITIKA EU PROJEKATA'!$P$3:$P$34,"=352")</f>
        <v>0</v>
      </c>
      <c r="N21" s="138">
        <f>SUMIFS('Plan rashoda za unos u SAP'!$I$3:$I$501,'Plan rashoda za unos u SAP'!$C$3:$C$501,"=561",'Plan rashoda za unos u SAP'!$M$3:$M$501,"=352")+SUMIFS('ANALITIKA EU PROJEKATA'!$G$3:$G$34,'ANALITIKA EU PROJEKATA'!$A$3:$A$34,"=561",'ANALITIKA EU PROJEKATA'!$P$3:$P$34,"=352")</f>
        <v>0</v>
      </c>
      <c r="O21" s="138">
        <f>SUMIFS('Plan rashoda za unos u SAP'!$I$3:$I$501,'Plan rashoda za unos u SAP'!$C$3:$C$501,"=563",'Plan rashoda za unos u SAP'!$M$3:$M$501,"=352")+SUMIFS('ANALITIKA EU PROJEKATA'!$G$3:$G$34,'ANALITIKA EU PROJEKATA'!$A$3:$A$34,"=563",'ANALITIKA EU PROJEKATA'!$P$3:$P$34,"=352")</f>
        <v>0</v>
      </c>
      <c r="P21" s="138">
        <f>SUMIFS('Plan rashoda za unos u SAP'!$I$3:$I$501,'Plan rashoda za unos u SAP'!$C$3:$C$501,"=573",'Plan rashoda za unos u SAP'!$M$3:$M$501,"=352")+SUMIFS('ANALITIKA EU PROJEKATA'!$G$3:$G$34,'ANALITIKA EU PROJEKATA'!$A$3:$A$34,"=573",'ANALITIKA EU PROJEKATA'!$P$3:$P$34,"=352")</f>
        <v>0</v>
      </c>
      <c r="Q21" s="138">
        <f>SUMIFS('Plan rashoda za unos u SAP'!$I$3:$I$501,'Plan rashoda za unos u SAP'!$C$3:$C$501,"=575",'Plan rashoda za unos u SAP'!$M$3:$M$501,"=352")+SUMIFS('ANALITIKA EU PROJEKATA'!$G$3:$G$34,'ANALITIKA EU PROJEKATA'!$A$3:$A$34,"=575",'ANALITIKA EU PROJEKATA'!$P$3:$P$34,"=352")</f>
        <v>0</v>
      </c>
      <c r="R21" s="138">
        <f>SUMIFS('Plan rashoda za unos u SAP'!$I$3:$I$501,'Plan rashoda za unos u SAP'!$C$3:$C$501,"=576",'Plan rashoda za unos u SAP'!$M$3:$M$501,"=352")+SUMIFS('ANALITIKA EU PROJEKATA'!$G$3:$G$34,'ANALITIKA EU PROJEKATA'!$A$3:$A$34,"=576",'ANALITIKA EU PROJEKATA'!$P$3:$P$34,"=352")</f>
        <v>0</v>
      </c>
      <c r="S21" s="138">
        <f>SUMIFS('Plan rashoda za unos u SAP'!$I$3:$I$501,'Plan rashoda za unos u SAP'!$C$3:$C$501,"=581",'Plan rashoda za unos u SAP'!$M$3:$M$501,"=352")+SUMIFS('ANALITIKA EU PROJEKATA'!$G$3:$G$34,'ANALITIKA EU PROJEKATA'!$A$3:$A$34,"=581",'ANALITIKA EU PROJEKATA'!$P$3:$P$34,"=352")</f>
        <v>0</v>
      </c>
      <c r="T21" s="138">
        <f>SUMIFS('Plan rashoda za unos u SAP'!$I$3:$I$501,'Plan rashoda za unos u SAP'!$C$3:$C$501,"=61",'Plan rashoda za unos u SAP'!$M$3:$M$501,"=352")+SUMIFS('ANALITIKA EU PROJEKATA'!$G$3:$G$34,'ANALITIKA EU PROJEKATA'!$A$3:$A$34,"=61",'ANALITIKA EU PROJEKATA'!$P$3:$P$34,"=352")</f>
        <v>0</v>
      </c>
      <c r="U21" s="138">
        <f>SUMIFS('Plan rashoda za unos u SAP'!$I$3:$I$501,'Plan rashoda za unos u SAP'!$C$3:$C$501,"=63",'Plan rashoda za unos u SAP'!$M$3:$M$501,"=352")+SUMIFS('ANALITIKA EU PROJEKATA'!$G$3:$G$34,'ANALITIKA EU PROJEKATA'!$A$3:$A$34,"=63",'ANALITIKA EU PROJEKATA'!$P$3:$P$34,"=352")</f>
        <v>0</v>
      </c>
      <c r="V21" s="138">
        <f>SUMIFS('Plan rashoda za unos u SAP'!$I$3:$I$501,'Plan rashoda za unos u SAP'!$C$3:$C$501,"=71",'Plan rashoda za unos u SAP'!$M$3:$M$501,"=352")+SUMIFS('ANALITIKA EU PROJEKATA'!$G$3:$G$34,'ANALITIKA EU PROJEKATA'!$A$3:$A$34,"=71",'ANALITIKA EU PROJEKATA'!$P$3:$P$34,"=352")</f>
        <v>0</v>
      </c>
      <c r="W21" s="138">
        <f>SUMIFS('Plan rashoda za unos u SAP'!$I$3:$I$501,'Plan rashoda za unos u SAP'!$C$3:$C$501,"=81",'Plan rashoda za unos u SAP'!$M$3:$M$501,"=352")+SUMIFS('ANALITIKA EU PROJEKATA'!$G$3:$G$34,'ANALITIKA EU PROJEKATA'!$A$3:$A$34,"=81",'ANALITIKA EU PROJEKATA'!$P$3:$P$34,"=352")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PROJEKATA'!$G$3:$G$34,'ANALITIKA EU PROJEKATA'!$A$3:$A$34,"=11",'ANALITIKA EU PROJEKATA'!$P$3:$P$34,"=353")</f>
        <v>0</v>
      </c>
      <c r="F22" s="138">
        <f>SUMIFS('Plan rashoda za unos u SAP'!$I$3:$I$501,'Plan rashoda za unos u SAP'!$C$3:$C$501,"=12",'Plan rashoda za unos u SAP'!$M$3:$M$501,"=353")+SUMIFS('ANALITIKA EU PROJEKATA'!$G$3:$G$34,'ANALITIKA EU PROJEKATA'!$A$3:$A$34,"=12",'ANALITIKA EU PROJEKATA'!$P$3:$P$34,"=353")</f>
        <v>0</v>
      </c>
      <c r="G22" s="138">
        <f>SUMIFS('Plan rashoda za unos u SAP'!$I$3:$I$501,'Plan rashoda za unos u SAP'!$C$3:$C$501,"=31",'Plan rashoda za unos u SAP'!$M$3:$M$501,"=353")+SUMIFS('ANALITIKA EU PROJEKATA'!$G$3:$G$34,'ANALITIKA EU PROJEKATA'!$A$3:$A$34,"=31",'ANALITIKA EU PROJEKATA'!$P$3:$P$34,"=353")</f>
        <v>0</v>
      </c>
      <c r="H22" s="138">
        <f>SUMIFS('Plan rashoda za unos u SAP'!$I$3:$I$501,'Plan rashoda za unos u SAP'!$C$3:$C$501,"=41",'Plan rashoda za unos u SAP'!$M$3:$M$501,"=353")+SUMIFS('ANALITIKA EU PROJEKATA'!$G$3:$G$34,'ANALITIKA EU PROJEKATA'!$A$3:$A$34,"=41",'ANALITIKA EU PROJEKATA'!$P$3:$P$34,"=353")</f>
        <v>0</v>
      </c>
      <c r="I22" s="138">
        <f>SUMIFS('Plan rashoda za unos u SAP'!$I$3:$I$501,'Plan rashoda za unos u SAP'!$C$3:$C$501,"=43",'Plan rashoda za unos u SAP'!$M$3:$M$501,"=353")+SUMIFS('ANALITIKA EU PROJEKATA'!$G$3:$G$34,'ANALITIKA EU PROJEKATA'!$A$3:$A$34,"=43",'ANALITIKA EU PROJEKATA'!$P$3:$P$34,"=353")</f>
        <v>0</v>
      </c>
      <c r="J22" s="138">
        <f>SUMIFS('Plan rashoda za unos u SAP'!$I$3:$I$501,'Plan rashoda za unos u SAP'!$C$3:$C$501,"=51",'Plan rashoda za unos u SAP'!$M$3:$M$501,"=353")+SUMIFS('ANALITIKA EU PROJEKATA'!$G$3:$G$34,'ANALITIKA EU PROJEKATA'!$A$3:$A$34,"=51",'ANALITIKA EU PROJEKATA'!$P$3:$P$34,"=353")</f>
        <v>0</v>
      </c>
      <c r="K22" s="138">
        <f>SUMIFS('Plan rashoda za unos u SAP'!$I$3:$I$501,'Plan rashoda za unos u SAP'!$C$3:$C$501,"=52",'Plan rashoda za unos u SAP'!$M$3:$M$501,"=353")+SUMIFS('ANALITIKA EU PROJEKATA'!$G$3:$G$34,'ANALITIKA EU PROJEKATA'!$A$3:$A$34,"=52",'ANALITIKA EU PROJEKATA'!$P$3:$P$34,"=353")</f>
        <v>0</v>
      </c>
      <c r="L22" s="138">
        <f>SUMIFS('Plan rashoda za unos u SAP'!$I$3:$I$501,'Plan rashoda za unos u SAP'!$C$3:$C$501,"=552",'Plan rashoda za unos u SAP'!$M$3:$M$501,"=353")+SUMIFS('ANALITIKA EU PROJEKATA'!$G$3:$G$34,'ANALITIKA EU PROJEKATA'!$A$3:$A$34,"=552",'ANALITIKA EU PROJEKATA'!$P$3:$P$34,"=353")</f>
        <v>0</v>
      </c>
      <c r="M22" s="138">
        <f>SUMIFS('Plan rashoda za unos u SAP'!$I$3:$I$501,'Plan rashoda za unos u SAP'!$C$3:$C$501,"=559",'Plan rashoda za unos u SAP'!$M$3:$M$501,"=353")+SUMIFS('ANALITIKA EU PROJEKATA'!$G$3:$G$34,'ANALITIKA EU PROJEKATA'!$A$3:$A$34,"=559",'ANALITIKA EU PROJEKATA'!$P$3:$P$34,"=353")</f>
        <v>0</v>
      </c>
      <c r="N22" s="138">
        <f>SUMIFS('Plan rashoda za unos u SAP'!$I$3:$I$501,'Plan rashoda za unos u SAP'!$C$3:$C$501,"=561",'Plan rashoda za unos u SAP'!$M$3:$M$501,"=353")+SUMIFS('ANALITIKA EU PROJEKATA'!$G$3:$G$34,'ANALITIKA EU PROJEKATA'!$A$3:$A$34,"=561",'ANALITIKA EU PROJEKATA'!$P$3:$P$34,"=353")</f>
        <v>0</v>
      </c>
      <c r="O22" s="138">
        <f>SUMIFS('Plan rashoda za unos u SAP'!$I$3:$I$501,'Plan rashoda za unos u SAP'!$C$3:$C$501,"=563",'Plan rashoda za unos u SAP'!$M$3:$M$501,"=353")+SUMIFS('ANALITIKA EU PROJEKATA'!$G$3:$G$34,'ANALITIKA EU PROJEKATA'!$A$3:$A$34,"=563",'ANALITIKA EU PROJEKATA'!$P$3:$P$34,"=353")</f>
        <v>0</v>
      </c>
      <c r="P22" s="138">
        <f>SUMIFS('Plan rashoda za unos u SAP'!$I$3:$I$501,'Plan rashoda za unos u SAP'!$C$3:$C$501,"=573",'Plan rashoda za unos u SAP'!$M$3:$M$501,"=353")+SUMIFS('ANALITIKA EU PROJEKATA'!$G$3:$G$34,'ANALITIKA EU PROJEKATA'!$A$3:$A$34,"=573",'ANALITIKA EU PROJEKATA'!$P$3:$P$34,"=353")</f>
        <v>0</v>
      </c>
      <c r="Q22" s="138">
        <f>SUMIFS('Plan rashoda za unos u SAP'!$I$3:$I$501,'Plan rashoda za unos u SAP'!$C$3:$C$501,"=575",'Plan rashoda za unos u SAP'!$M$3:$M$501,"=353")+SUMIFS('ANALITIKA EU PROJEKATA'!$G$3:$G$34,'ANALITIKA EU PROJEKATA'!$A$3:$A$34,"=575",'ANALITIKA EU PROJEKATA'!$P$3:$P$34,"=353")</f>
        <v>0</v>
      </c>
      <c r="R22" s="138">
        <f>SUMIFS('Plan rashoda za unos u SAP'!$I$3:$I$501,'Plan rashoda za unos u SAP'!$C$3:$C$501,"=576",'Plan rashoda za unos u SAP'!$M$3:$M$501,"=353")+SUMIFS('ANALITIKA EU PROJEKATA'!$G$3:$G$34,'ANALITIKA EU PROJEKATA'!$A$3:$A$34,"=576",'ANALITIKA EU PROJEKATA'!$P$3:$P$34,"=353")</f>
        <v>0</v>
      </c>
      <c r="S22" s="138">
        <f>SUMIFS('Plan rashoda za unos u SAP'!$I$3:$I$501,'Plan rashoda za unos u SAP'!$C$3:$C$501,"=581",'Plan rashoda za unos u SAP'!$M$3:$M$501,"=353")+SUMIFS('ANALITIKA EU PROJEKATA'!$G$3:$G$34,'ANALITIKA EU PROJEKATA'!$A$3:$A$34,"=581",'ANALITIKA EU PROJEKATA'!$P$3:$P$34,"=353")</f>
        <v>0</v>
      </c>
      <c r="T22" s="138">
        <f>SUMIFS('Plan rashoda za unos u SAP'!$I$3:$I$501,'Plan rashoda za unos u SAP'!$C$3:$C$501,"=61",'Plan rashoda za unos u SAP'!$M$3:$M$501,"=353")+SUMIFS('ANALITIKA EU PROJEKATA'!$G$3:$G$34,'ANALITIKA EU PROJEKATA'!$A$3:$A$34,"=61",'ANALITIKA EU PROJEKATA'!$P$3:$P$34,"=353")</f>
        <v>0</v>
      </c>
      <c r="U22" s="138">
        <f>SUMIFS('Plan rashoda za unos u SAP'!$I$3:$I$501,'Plan rashoda za unos u SAP'!$C$3:$C$501,"=63",'Plan rashoda za unos u SAP'!$M$3:$M$501,"=353")+SUMIFS('ANALITIKA EU PROJEKATA'!$G$3:$G$34,'ANALITIKA EU PROJEKATA'!$A$3:$A$34,"=63",'ANALITIKA EU PROJEKATA'!$P$3:$P$34,"=353")</f>
        <v>0</v>
      </c>
      <c r="V22" s="138">
        <f>SUMIFS('Plan rashoda za unos u SAP'!$I$3:$I$501,'Plan rashoda za unos u SAP'!$C$3:$C$501,"=71",'Plan rashoda za unos u SAP'!$M$3:$M$501,"=353")+SUMIFS('ANALITIKA EU PROJEKATA'!$G$3:$G$34,'ANALITIKA EU PROJEKATA'!$A$3:$A$34,"=71",'ANALITIKA EU PROJEKATA'!$P$3:$P$34,"=353")</f>
        <v>0</v>
      </c>
      <c r="W22" s="138">
        <f>SUMIFS('Plan rashoda za unos u SAP'!$I$3:$I$501,'Plan rashoda za unos u SAP'!$C$3:$C$501,"=81",'Plan rashoda za unos u SAP'!$M$3:$M$501,"=353")+SUMIFS('ANALITIKA EU PROJEKATA'!$G$3:$G$34,'ANALITIKA EU PROJEKATA'!$A$3:$A$34,"=81",'ANALITIKA EU PROJEKATA'!$P$3:$P$34,"=353")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PROJEKATA'!$G$3:$G$34,'ANALITIKA EU PROJEKATA'!$A$3:$A$34,"=11",'ANALITIKA EU PROJEKATA'!$P$3:$P$34,"=361")</f>
        <v>0</v>
      </c>
      <c r="F24" s="138">
        <f>SUMIFS('Plan rashoda za unos u SAP'!$I$3:$I$501,'Plan rashoda za unos u SAP'!$C$3:$C$501,"=12",'Plan rashoda za unos u SAP'!$M$3:$M$501,"=361")+SUMIFS('ANALITIKA EU PROJEKATA'!$G$3:$G$34,'ANALITIKA EU PROJEKATA'!$A$3:$A$34,"=12",'ANALITIKA EU PROJEKATA'!$P$3:$P$34,"=361")</f>
        <v>0</v>
      </c>
      <c r="G24" s="138">
        <f>SUMIFS('Plan rashoda za unos u SAP'!$I$3:$I$501,'Plan rashoda za unos u SAP'!$C$3:$C$501,"=31",'Plan rashoda za unos u SAP'!$M$3:$M$501,"=361")+SUMIFS('ANALITIKA EU PROJEKATA'!$G$3:$G$34,'ANALITIKA EU PROJEKATA'!$A$3:$A$34,"=31",'ANALITIKA EU PROJEKATA'!$P$3:$P$34,"=361")</f>
        <v>0</v>
      </c>
      <c r="H24" s="138">
        <f>SUMIFS('Plan rashoda za unos u SAP'!$I$3:$I$501,'Plan rashoda za unos u SAP'!$C$3:$C$501,"=41",'Plan rashoda za unos u SAP'!$M$3:$M$501,"=361")+SUMIFS('ANALITIKA EU PROJEKATA'!$G$3:$G$34,'ANALITIKA EU PROJEKATA'!$A$3:$A$34,"=41",'ANALITIKA EU PROJEKATA'!$P$3:$P$34,"=361")</f>
        <v>0</v>
      </c>
      <c r="I24" s="138">
        <f>SUMIFS('Plan rashoda za unos u SAP'!$I$3:$I$501,'Plan rashoda za unos u SAP'!$C$3:$C$501,"=43",'Plan rashoda za unos u SAP'!$M$3:$M$501,"=361")+SUMIFS('ANALITIKA EU PROJEKATA'!$G$3:$G$34,'ANALITIKA EU PROJEKATA'!$A$3:$A$34,"=43",'ANALITIKA EU PROJEKATA'!$P$3:$P$34,"=361")</f>
        <v>0</v>
      </c>
      <c r="J24" s="138">
        <f>SUMIFS('Plan rashoda za unos u SAP'!$I$3:$I$501,'Plan rashoda za unos u SAP'!$C$3:$C$501,"=51",'Plan rashoda za unos u SAP'!$M$3:$M$501,"=361")+SUMIFS('ANALITIKA EU PROJEKATA'!$G$3:$G$34,'ANALITIKA EU PROJEKATA'!$A$3:$A$34,"=51",'ANALITIKA EU PROJEKATA'!$P$3:$P$34,"=361")</f>
        <v>0</v>
      </c>
      <c r="K24" s="138">
        <f>SUMIFS('Plan rashoda za unos u SAP'!$I$3:$I$501,'Plan rashoda za unos u SAP'!$C$3:$C$501,"=52",'Plan rashoda za unos u SAP'!$M$3:$M$501,"=361")+SUMIFS('ANALITIKA EU PROJEKATA'!$G$3:$G$34,'ANALITIKA EU PROJEKATA'!$A$3:$A$34,"=52",'ANALITIKA EU PROJEKATA'!$P$3:$P$34,"=361")</f>
        <v>0</v>
      </c>
      <c r="L24" s="138">
        <f>SUMIFS('Plan rashoda za unos u SAP'!$I$3:$I$501,'Plan rashoda za unos u SAP'!$C$3:$C$501,"=552",'Plan rashoda za unos u SAP'!$M$3:$M$501,"=361")+SUMIFS('ANALITIKA EU PROJEKATA'!$G$3:$G$34,'ANALITIKA EU PROJEKATA'!$A$3:$A$34,"=552",'ANALITIKA EU PROJEKATA'!$P$3:$P$34,"=361")</f>
        <v>0</v>
      </c>
      <c r="M24" s="138">
        <f>SUMIFS('Plan rashoda za unos u SAP'!$I$3:$I$501,'Plan rashoda za unos u SAP'!$C$3:$C$501,"=559",'Plan rashoda za unos u SAP'!$M$3:$M$501,"=361")+SUMIFS('ANALITIKA EU PROJEKATA'!$G$3:$G$34,'ANALITIKA EU PROJEKATA'!$A$3:$A$34,"=559",'ANALITIKA EU PROJEKATA'!$P$3:$P$34,"=361")</f>
        <v>0</v>
      </c>
      <c r="N24" s="138">
        <f>SUMIFS('Plan rashoda za unos u SAP'!$I$3:$I$501,'Plan rashoda za unos u SAP'!$C$3:$C$501,"=561",'Plan rashoda za unos u SAP'!$M$3:$M$501,"=361")+SUMIFS('ANALITIKA EU PROJEKATA'!$G$3:$G$34,'ANALITIKA EU PROJEKATA'!$A$3:$A$34,"=561",'ANALITIKA EU PROJEKATA'!$P$3:$P$34,"=361")</f>
        <v>0</v>
      </c>
      <c r="O24" s="138">
        <f>SUMIFS('Plan rashoda za unos u SAP'!$I$3:$I$501,'Plan rashoda za unos u SAP'!$C$3:$C$501,"=563",'Plan rashoda za unos u SAP'!$M$3:$M$501,"=361")+SUMIFS('ANALITIKA EU PROJEKATA'!$G$3:$G$34,'ANALITIKA EU PROJEKATA'!$A$3:$A$34,"=563",'ANALITIKA EU PROJEKATA'!$P$3:$P$34,"=361")</f>
        <v>0</v>
      </c>
      <c r="P24" s="138">
        <f>SUMIFS('Plan rashoda za unos u SAP'!$I$3:$I$501,'Plan rashoda za unos u SAP'!$C$3:$C$501,"=573",'Plan rashoda za unos u SAP'!$M$3:$M$501,"=361")+SUMIFS('ANALITIKA EU PROJEKATA'!$G$3:$G$34,'ANALITIKA EU PROJEKATA'!$A$3:$A$34,"=573",'ANALITIKA EU PROJEKATA'!$P$3:$P$34,"=361")</f>
        <v>0</v>
      </c>
      <c r="Q24" s="138">
        <f>SUMIFS('Plan rashoda za unos u SAP'!$I$3:$I$501,'Plan rashoda za unos u SAP'!$C$3:$C$501,"=575",'Plan rashoda za unos u SAP'!$M$3:$M$501,"=361")+SUMIFS('ANALITIKA EU PROJEKATA'!$G$3:$G$34,'ANALITIKA EU PROJEKATA'!$A$3:$A$34,"=575",'ANALITIKA EU PROJEKATA'!$P$3:$P$34,"=361")</f>
        <v>0</v>
      </c>
      <c r="R24" s="138">
        <f>SUMIFS('Plan rashoda za unos u SAP'!$I$3:$I$501,'Plan rashoda za unos u SAP'!$C$3:$C$501,"=576",'Plan rashoda za unos u SAP'!$M$3:$M$501,"=361")+SUMIFS('ANALITIKA EU PROJEKATA'!$G$3:$G$34,'ANALITIKA EU PROJEKATA'!$A$3:$A$34,"=576",'ANALITIKA EU PROJEKATA'!$P$3:$P$34,"=361")</f>
        <v>0</v>
      </c>
      <c r="S24" s="138">
        <f>SUMIFS('Plan rashoda za unos u SAP'!$I$3:$I$501,'Plan rashoda za unos u SAP'!$C$3:$C$501,"=581",'Plan rashoda za unos u SAP'!$M$3:$M$501,"=361")+SUMIFS('ANALITIKA EU PROJEKATA'!$G$3:$G$34,'ANALITIKA EU PROJEKATA'!$A$3:$A$34,"=581",'ANALITIKA EU PROJEKATA'!$P$3:$P$34,"=361")</f>
        <v>0</v>
      </c>
      <c r="T24" s="138">
        <f>SUMIFS('Plan rashoda za unos u SAP'!$I$3:$I$501,'Plan rashoda za unos u SAP'!$C$3:$C$501,"=61",'Plan rashoda za unos u SAP'!$M$3:$M$501,"=361")+SUMIFS('ANALITIKA EU PROJEKATA'!$G$3:$G$34,'ANALITIKA EU PROJEKATA'!$A$3:$A$34,"=61",'ANALITIKA EU PROJEKATA'!$P$3:$P$34,"=361")</f>
        <v>0</v>
      </c>
      <c r="U24" s="138">
        <f>SUMIFS('Plan rashoda za unos u SAP'!$I$3:$I$501,'Plan rashoda za unos u SAP'!$C$3:$C$501,"=63",'Plan rashoda za unos u SAP'!$M$3:$M$501,"=361")+SUMIFS('ANALITIKA EU PROJEKATA'!$G$3:$G$34,'ANALITIKA EU PROJEKATA'!$A$3:$A$34,"=63",'ANALITIKA EU PROJEKATA'!$P$3:$P$34,"=361")</f>
        <v>0</v>
      </c>
      <c r="V24" s="138">
        <f>SUMIFS('Plan rashoda za unos u SAP'!$I$3:$I$501,'Plan rashoda za unos u SAP'!$C$3:$C$501,"=71",'Plan rashoda za unos u SAP'!$M$3:$M$501,"=361")+SUMIFS('ANALITIKA EU PROJEKATA'!$G$3:$G$34,'ANALITIKA EU PROJEKATA'!$A$3:$A$34,"=71",'ANALITIKA EU PROJEKATA'!$P$3:$P$34,"=361")</f>
        <v>0</v>
      </c>
      <c r="W24" s="138">
        <f>SUMIFS('Plan rashoda za unos u SAP'!$I$3:$I$501,'Plan rashoda za unos u SAP'!$C$3:$C$501,"=81",'Plan rashoda za unos u SAP'!$M$3:$M$501,"=361")+SUMIFS('ANALITIKA EU PROJEKATA'!$G$3:$G$34,'ANALITIKA EU PROJEKATA'!$A$3:$A$34,"=81",'ANALITIKA EU PROJEKATA'!$P$3:$P$34,"=361")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PROJEKATA'!$G$3:$G$34,'ANALITIKA EU PROJEKATA'!$A$3:$A$34,"=11",'ANALITIKA EU PROJEKATA'!$P$3:$P$34,"=362")</f>
        <v>0</v>
      </c>
      <c r="F25" s="138">
        <f>SUMIFS('Plan rashoda za unos u SAP'!$I$3:$I$501,'Plan rashoda za unos u SAP'!$C$3:$C$501,"=12",'Plan rashoda za unos u SAP'!$M$3:$M$501,"=362")+SUMIFS('ANALITIKA EU PROJEKATA'!$G$3:$G$34,'ANALITIKA EU PROJEKATA'!$A$3:$A$34,"=12",'ANALITIKA EU PROJEKATA'!$P$3:$P$34,"=362")</f>
        <v>0</v>
      </c>
      <c r="G25" s="138">
        <f>SUMIFS('Plan rashoda za unos u SAP'!$I$3:$I$501,'Plan rashoda za unos u SAP'!$C$3:$C$501,"=31",'Plan rashoda za unos u SAP'!$M$3:$M$501,"=362")+SUMIFS('ANALITIKA EU PROJEKATA'!$G$3:$G$34,'ANALITIKA EU PROJEKATA'!$A$3:$A$34,"=31",'ANALITIKA EU PROJEKATA'!$P$3:$P$34,"=362")</f>
        <v>0</v>
      </c>
      <c r="H25" s="138">
        <f>SUMIFS('Plan rashoda za unos u SAP'!$I$3:$I$501,'Plan rashoda za unos u SAP'!$C$3:$C$501,"=41",'Plan rashoda za unos u SAP'!$M$3:$M$501,"=362")+SUMIFS('ANALITIKA EU PROJEKATA'!$G$3:$G$34,'ANALITIKA EU PROJEKATA'!$A$3:$A$34,"=41",'ANALITIKA EU PROJEKATA'!$P$3:$P$34,"=362")</f>
        <v>0</v>
      </c>
      <c r="I25" s="138">
        <f>SUMIFS('Plan rashoda za unos u SAP'!$I$3:$I$501,'Plan rashoda za unos u SAP'!$C$3:$C$501,"=43",'Plan rashoda za unos u SAP'!$M$3:$M$501,"=362")+SUMIFS('ANALITIKA EU PROJEKATA'!$G$3:$G$34,'ANALITIKA EU PROJEKATA'!$A$3:$A$34,"=43",'ANALITIKA EU PROJEKATA'!$P$3:$P$34,"=362")</f>
        <v>0</v>
      </c>
      <c r="J25" s="138">
        <f>SUMIFS('Plan rashoda za unos u SAP'!$I$3:$I$501,'Plan rashoda za unos u SAP'!$C$3:$C$501,"=51",'Plan rashoda za unos u SAP'!$M$3:$M$501,"=362")+SUMIFS('ANALITIKA EU PROJEKATA'!$G$3:$G$34,'ANALITIKA EU PROJEKATA'!$A$3:$A$34,"=51",'ANALITIKA EU PROJEKATA'!$P$3:$P$34,"=362")</f>
        <v>0</v>
      </c>
      <c r="K25" s="138">
        <f>SUMIFS('Plan rashoda za unos u SAP'!$I$3:$I$501,'Plan rashoda za unos u SAP'!$C$3:$C$501,"=52",'Plan rashoda za unos u SAP'!$M$3:$M$501,"=362")+SUMIFS('ANALITIKA EU PROJEKATA'!$G$3:$G$34,'ANALITIKA EU PROJEKATA'!$A$3:$A$34,"=52",'ANALITIKA EU PROJEKATA'!$P$3:$P$34,"=362")</f>
        <v>0</v>
      </c>
      <c r="L25" s="138">
        <f>SUMIFS('Plan rashoda za unos u SAP'!$I$3:$I$501,'Plan rashoda za unos u SAP'!$C$3:$C$501,"=552",'Plan rashoda za unos u SAP'!$M$3:$M$501,"=362")+SUMIFS('ANALITIKA EU PROJEKATA'!$G$3:$G$34,'ANALITIKA EU PROJEKATA'!$A$3:$A$34,"=552",'ANALITIKA EU PROJEKATA'!$P$3:$P$34,"=362")</f>
        <v>0</v>
      </c>
      <c r="M25" s="138">
        <f>SUMIFS('Plan rashoda za unos u SAP'!$I$3:$I$501,'Plan rashoda za unos u SAP'!$C$3:$C$501,"=559",'Plan rashoda za unos u SAP'!$M$3:$M$501,"=362")+SUMIFS('ANALITIKA EU PROJEKATA'!$G$3:$G$34,'ANALITIKA EU PROJEKATA'!$A$3:$A$34,"=559",'ANALITIKA EU PROJEKATA'!$P$3:$P$34,"=362")</f>
        <v>0</v>
      </c>
      <c r="N25" s="138">
        <f>SUMIFS('Plan rashoda za unos u SAP'!$I$3:$I$501,'Plan rashoda za unos u SAP'!$C$3:$C$501,"=561",'Plan rashoda za unos u SAP'!$M$3:$M$501,"=362")+SUMIFS('ANALITIKA EU PROJEKATA'!$G$3:$G$34,'ANALITIKA EU PROJEKATA'!$A$3:$A$34,"=561",'ANALITIKA EU PROJEKATA'!$P$3:$P$34,"=362")</f>
        <v>0</v>
      </c>
      <c r="O25" s="138">
        <f>SUMIFS('Plan rashoda za unos u SAP'!$I$3:$I$501,'Plan rashoda za unos u SAP'!$C$3:$C$501,"=563",'Plan rashoda za unos u SAP'!$M$3:$M$501,"=362")+SUMIFS('ANALITIKA EU PROJEKATA'!$G$3:$G$34,'ANALITIKA EU PROJEKATA'!$A$3:$A$34,"=563",'ANALITIKA EU PROJEKATA'!$P$3:$P$34,"=362")</f>
        <v>0</v>
      </c>
      <c r="P25" s="138">
        <f>SUMIFS('Plan rashoda za unos u SAP'!$I$3:$I$501,'Plan rashoda za unos u SAP'!$C$3:$C$501,"=573",'Plan rashoda za unos u SAP'!$M$3:$M$501,"=362")+SUMIFS('ANALITIKA EU PROJEKATA'!$G$3:$G$34,'ANALITIKA EU PROJEKATA'!$A$3:$A$34,"=573",'ANALITIKA EU PROJEKATA'!$P$3:$P$34,"=362")</f>
        <v>0</v>
      </c>
      <c r="Q25" s="138">
        <f>SUMIFS('Plan rashoda za unos u SAP'!$I$3:$I$501,'Plan rashoda za unos u SAP'!$C$3:$C$501,"=575",'Plan rashoda za unos u SAP'!$M$3:$M$501,"=362")+SUMIFS('ANALITIKA EU PROJEKATA'!$G$3:$G$34,'ANALITIKA EU PROJEKATA'!$A$3:$A$34,"=575",'ANALITIKA EU PROJEKATA'!$P$3:$P$34,"=362")</f>
        <v>0</v>
      </c>
      <c r="R25" s="138">
        <f>SUMIFS('Plan rashoda za unos u SAP'!$I$3:$I$501,'Plan rashoda za unos u SAP'!$C$3:$C$501,"=576",'Plan rashoda za unos u SAP'!$M$3:$M$501,"=362")+SUMIFS('ANALITIKA EU PROJEKATA'!$G$3:$G$34,'ANALITIKA EU PROJEKATA'!$A$3:$A$34,"=576",'ANALITIKA EU PROJEKATA'!$P$3:$P$34,"=362")</f>
        <v>0</v>
      </c>
      <c r="S25" s="138">
        <f>SUMIFS('Plan rashoda za unos u SAP'!$I$3:$I$501,'Plan rashoda za unos u SAP'!$C$3:$C$501,"=581",'Plan rashoda za unos u SAP'!$M$3:$M$501,"=362")+SUMIFS('ANALITIKA EU PROJEKATA'!$G$3:$G$34,'ANALITIKA EU PROJEKATA'!$A$3:$A$34,"=581",'ANALITIKA EU PROJEKATA'!$P$3:$P$34,"=362")</f>
        <v>0</v>
      </c>
      <c r="T25" s="138">
        <f>SUMIFS('Plan rashoda za unos u SAP'!$I$3:$I$501,'Plan rashoda za unos u SAP'!$C$3:$C$501,"=61",'Plan rashoda za unos u SAP'!$M$3:$M$501,"=362")+SUMIFS('ANALITIKA EU PROJEKATA'!$G$3:$G$34,'ANALITIKA EU PROJEKATA'!$A$3:$A$34,"=61",'ANALITIKA EU PROJEKATA'!$P$3:$P$34,"=362")</f>
        <v>0</v>
      </c>
      <c r="U25" s="138">
        <f>SUMIFS('Plan rashoda za unos u SAP'!$I$3:$I$501,'Plan rashoda za unos u SAP'!$C$3:$C$501,"=63",'Plan rashoda za unos u SAP'!$M$3:$M$501,"=362")+SUMIFS('ANALITIKA EU PROJEKATA'!$G$3:$G$34,'ANALITIKA EU PROJEKATA'!$A$3:$A$34,"=63",'ANALITIKA EU PROJEKATA'!$P$3:$P$34,"=362")</f>
        <v>0</v>
      </c>
      <c r="V25" s="138">
        <f>SUMIFS('Plan rashoda za unos u SAP'!$I$3:$I$501,'Plan rashoda za unos u SAP'!$C$3:$C$501,"=71",'Plan rashoda za unos u SAP'!$M$3:$M$501,"=362")+SUMIFS('ANALITIKA EU PROJEKATA'!$G$3:$G$34,'ANALITIKA EU PROJEKATA'!$A$3:$A$34,"=71",'ANALITIKA EU PROJEKATA'!$P$3:$P$34,"=362")</f>
        <v>0</v>
      </c>
      <c r="W25" s="138">
        <f>SUMIFS('Plan rashoda za unos u SAP'!$I$3:$I$501,'Plan rashoda za unos u SAP'!$C$3:$C$501,"=81",'Plan rashoda za unos u SAP'!$M$3:$M$501,"=362")+SUMIFS('ANALITIKA EU PROJEKATA'!$G$3:$G$34,'ANALITIKA EU PROJEKATA'!$A$3:$A$34,"=81",'ANALITIKA EU PROJEKATA'!$P$3:$P$34,"=362")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PROJEKATA'!$G$3:$G$34,'ANALITIKA EU PROJEKATA'!$A$3:$A$34,"=11",'ANALITIKA EU PROJEKATA'!$P$3:$P$34,"=363")</f>
        <v>0</v>
      </c>
      <c r="F26" s="138">
        <f>SUMIFS('Plan rashoda za unos u SAP'!$I$3:$I$501,'Plan rashoda za unos u SAP'!$C$3:$C$501,"=12",'Plan rashoda za unos u SAP'!$M$3:$M$501,"=363")+SUMIFS('ANALITIKA EU PROJEKATA'!$G$3:$G$34,'ANALITIKA EU PROJEKATA'!$A$3:$A$34,"=12",'ANALITIKA EU PROJEKATA'!$P$3:$P$34,"=363")</f>
        <v>0</v>
      </c>
      <c r="G26" s="138">
        <f>SUMIFS('Plan rashoda za unos u SAP'!$I$3:$I$501,'Plan rashoda za unos u SAP'!$C$3:$C$501,"=31",'Plan rashoda za unos u SAP'!$M$3:$M$501,"=363")+SUMIFS('ANALITIKA EU PROJEKATA'!$G$3:$G$34,'ANALITIKA EU PROJEKATA'!$A$3:$A$34,"=31",'ANALITIKA EU PROJEKATA'!$P$3:$P$34,"=363")</f>
        <v>0</v>
      </c>
      <c r="H26" s="138">
        <f>SUMIFS('Plan rashoda za unos u SAP'!$I$3:$I$501,'Plan rashoda za unos u SAP'!$C$3:$C$501,"=41",'Plan rashoda za unos u SAP'!$M$3:$M$501,"=363")+SUMIFS('ANALITIKA EU PROJEKATA'!$G$3:$G$34,'ANALITIKA EU PROJEKATA'!$A$3:$A$34,"=41",'ANALITIKA EU PROJEKATA'!$P$3:$P$34,"=363")</f>
        <v>0</v>
      </c>
      <c r="I26" s="138">
        <f>SUMIFS('Plan rashoda za unos u SAP'!$I$3:$I$501,'Plan rashoda za unos u SAP'!$C$3:$C$501,"=43",'Plan rashoda za unos u SAP'!$M$3:$M$501,"=363")+SUMIFS('ANALITIKA EU PROJEKATA'!$G$3:$G$34,'ANALITIKA EU PROJEKATA'!$A$3:$A$34,"=43",'ANALITIKA EU PROJEKATA'!$P$3:$P$34,"=363")</f>
        <v>0</v>
      </c>
      <c r="J26" s="138">
        <f>SUMIFS('Plan rashoda za unos u SAP'!$I$3:$I$501,'Plan rashoda za unos u SAP'!$C$3:$C$501,"=51",'Plan rashoda za unos u SAP'!$M$3:$M$501,"=363")+SUMIFS('ANALITIKA EU PROJEKATA'!$G$3:$G$34,'ANALITIKA EU PROJEKATA'!$A$3:$A$34,"=51",'ANALITIKA EU PROJEKATA'!$P$3:$P$34,"=363")</f>
        <v>0</v>
      </c>
      <c r="K26" s="138">
        <f>SUMIFS('Plan rashoda za unos u SAP'!$I$3:$I$501,'Plan rashoda za unos u SAP'!$C$3:$C$501,"=52",'Plan rashoda za unos u SAP'!$M$3:$M$501,"=363")+SUMIFS('ANALITIKA EU PROJEKATA'!$G$3:$G$34,'ANALITIKA EU PROJEKATA'!$A$3:$A$34,"=52",'ANALITIKA EU PROJEKATA'!$P$3:$P$34,"=363")</f>
        <v>0</v>
      </c>
      <c r="L26" s="138">
        <f>SUMIFS('Plan rashoda za unos u SAP'!$I$3:$I$501,'Plan rashoda za unos u SAP'!$C$3:$C$501,"=552",'Plan rashoda za unos u SAP'!$M$3:$M$501,"=363")+SUMIFS('ANALITIKA EU PROJEKATA'!$G$3:$G$34,'ANALITIKA EU PROJEKATA'!$A$3:$A$34,"=552",'ANALITIKA EU PROJEKATA'!$P$3:$P$34,"=363")</f>
        <v>0</v>
      </c>
      <c r="M26" s="138">
        <f>SUMIFS('Plan rashoda za unos u SAP'!$I$3:$I$501,'Plan rashoda za unos u SAP'!$C$3:$C$501,"=559",'Plan rashoda za unos u SAP'!$M$3:$M$501,"=363")+SUMIFS('ANALITIKA EU PROJEKATA'!$G$3:$G$34,'ANALITIKA EU PROJEKATA'!$A$3:$A$34,"=559",'ANALITIKA EU PROJEKATA'!$P$3:$P$34,"=363")</f>
        <v>0</v>
      </c>
      <c r="N26" s="138">
        <f>SUMIFS('Plan rashoda za unos u SAP'!$I$3:$I$501,'Plan rashoda za unos u SAP'!$C$3:$C$501,"=561",'Plan rashoda za unos u SAP'!$M$3:$M$501,"=363")+SUMIFS('ANALITIKA EU PROJEKATA'!$G$3:$G$34,'ANALITIKA EU PROJEKATA'!$A$3:$A$34,"=561",'ANALITIKA EU PROJEKATA'!$P$3:$P$34,"=363")</f>
        <v>0</v>
      </c>
      <c r="O26" s="138">
        <f>SUMIFS('Plan rashoda za unos u SAP'!$I$3:$I$501,'Plan rashoda za unos u SAP'!$C$3:$C$501,"=563",'Plan rashoda za unos u SAP'!$M$3:$M$501,"=363")+SUMIFS('ANALITIKA EU PROJEKATA'!$G$3:$G$34,'ANALITIKA EU PROJEKATA'!$A$3:$A$34,"=563",'ANALITIKA EU PROJEKATA'!$P$3:$P$34,"=363")</f>
        <v>0</v>
      </c>
      <c r="P26" s="138">
        <f>SUMIFS('Plan rashoda za unos u SAP'!$I$3:$I$501,'Plan rashoda za unos u SAP'!$C$3:$C$501,"=573",'Plan rashoda za unos u SAP'!$M$3:$M$501,"=363")+SUMIFS('ANALITIKA EU PROJEKATA'!$G$3:$G$34,'ANALITIKA EU PROJEKATA'!$A$3:$A$34,"=573",'ANALITIKA EU PROJEKATA'!$P$3:$P$34,"=363")</f>
        <v>0</v>
      </c>
      <c r="Q26" s="138">
        <f>SUMIFS('Plan rashoda za unos u SAP'!$I$3:$I$501,'Plan rashoda za unos u SAP'!$C$3:$C$501,"=575",'Plan rashoda za unos u SAP'!$M$3:$M$501,"=363")+SUMIFS('ANALITIKA EU PROJEKATA'!$G$3:$G$34,'ANALITIKA EU PROJEKATA'!$A$3:$A$34,"=575",'ANALITIKA EU PROJEKATA'!$P$3:$P$34,"=363")</f>
        <v>0</v>
      </c>
      <c r="R26" s="138">
        <f>SUMIFS('Plan rashoda za unos u SAP'!$I$3:$I$501,'Plan rashoda za unos u SAP'!$C$3:$C$501,"=576",'Plan rashoda za unos u SAP'!$M$3:$M$501,"=363")+SUMIFS('ANALITIKA EU PROJEKATA'!$G$3:$G$34,'ANALITIKA EU PROJEKATA'!$A$3:$A$34,"=576",'ANALITIKA EU PROJEKATA'!$P$3:$P$34,"=363")</f>
        <v>0</v>
      </c>
      <c r="S26" s="138">
        <f>SUMIFS('Plan rashoda za unos u SAP'!$I$3:$I$501,'Plan rashoda za unos u SAP'!$C$3:$C$501,"=581",'Plan rashoda za unos u SAP'!$M$3:$M$501,"=363")+SUMIFS('ANALITIKA EU PROJEKATA'!$G$3:$G$34,'ANALITIKA EU PROJEKATA'!$A$3:$A$34,"=581",'ANALITIKA EU PROJEKATA'!$P$3:$P$34,"=363")</f>
        <v>0</v>
      </c>
      <c r="T26" s="138">
        <f>SUMIFS('Plan rashoda za unos u SAP'!$I$3:$I$501,'Plan rashoda za unos u SAP'!$C$3:$C$501,"=61",'Plan rashoda za unos u SAP'!$M$3:$M$501,"=363")+SUMIFS('ANALITIKA EU PROJEKATA'!$G$3:$G$34,'ANALITIKA EU PROJEKATA'!$A$3:$A$34,"=61",'ANALITIKA EU PROJEKATA'!$P$3:$P$34,"=363")</f>
        <v>0</v>
      </c>
      <c r="U26" s="138">
        <f>SUMIFS('Plan rashoda za unos u SAP'!$I$3:$I$501,'Plan rashoda za unos u SAP'!$C$3:$C$501,"=63",'Plan rashoda za unos u SAP'!$M$3:$M$501,"=363")+SUMIFS('ANALITIKA EU PROJEKATA'!$G$3:$G$34,'ANALITIKA EU PROJEKATA'!$A$3:$A$34,"=63",'ANALITIKA EU PROJEKATA'!$P$3:$P$34,"=363")</f>
        <v>0</v>
      </c>
      <c r="V26" s="138">
        <f>SUMIFS('Plan rashoda za unos u SAP'!$I$3:$I$501,'Plan rashoda za unos u SAP'!$C$3:$C$501,"=71",'Plan rashoda za unos u SAP'!$M$3:$M$501,"=363")+SUMIFS('ANALITIKA EU PROJEKATA'!$G$3:$G$34,'ANALITIKA EU PROJEKATA'!$A$3:$A$34,"=71",'ANALITIKA EU PROJEKATA'!$P$3:$P$34,"=363")</f>
        <v>0</v>
      </c>
      <c r="W26" s="138">
        <f>SUMIFS('Plan rashoda za unos u SAP'!$I$3:$I$501,'Plan rashoda za unos u SAP'!$C$3:$C$501,"=81",'Plan rashoda za unos u SAP'!$M$3:$M$501,"=363")+SUMIFS('ANALITIKA EU PROJEKATA'!$G$3:$G$34,'ANALITIKA EU PROJEKATA'!$A$3:$A$34,"=81",'ANALITIKA EU PROJEKATA'!$P$3:$P$34,"=363")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PROJEKATA'!$G$3:$G$34,'ANALITIKA EU PROJEKATA'!$A$3:$A$34,"=11",'ANALITIKA EU PROJEKATA'!$P$3:$P$34,"=366")</f>
        <v>0</v>
      </c>
      <c r="F27" s="138">
        <f>SUMIFS('Plan rashoda za unos u SAP'!$I$3:$I$501,'Plan rashoda za unos u SAP'!$C$3:$C$501,"=12",'Plan rashoda za unos u SAP'!$M$3:$M$501,"=366")+SUMIFS('ANALITIKA EU PROJEKATA'!$G$3:$G$34,'ANALITIKA EU PROJEKATA'!$A$3:$A$34,"=12",'ANALITIKA EU PROJEKATA'!$P$3:$P$34,"=366")</f>
        <v>0</v>
      </c>
      <c r="G27" s="138">
        <f>SUMIFS('Plan rashoda za unos u SAP'!$I$3:$I$501,'Plan rashoda za unos u SAP'!$C$3:$C$501,"=31",'Plan rashoda za unos u SAP'!$M$3:$M$501,"=366")+SUMIFS('ANALITIKA EU PROJEKATA'!$G$3:$G$34,'ANALITIKA EU PROJEKATA'!$A$3:$A$34,"=31",'ANALITIKA EU PROJEKATA'!$P$3:$P$34,"=366")</f>
        <v>0</v>
      </c>
      <c r="H27" s="138">
        <f>SUMIFS('Plan rashoda za unos u SAP'!$I$3:$I$501,'Plan rashoda za unos u SAP'!$C$3:$C$501,"=41",'Plan rashoda za unos u SAP'!$M$3:$M$501,"=366")+SUMIFS('ANALITIKA EU PROJEKATA'!$G$3:$G$34,'ANALITIKA EU PROJEKATA'!$A$3:$A$34,"=41",'ANALITIKA EU PROJEKATA'!$P$3:$P$34,"=366")</f>
        <v>0</v>
      </c>
      <c r="I27" s="138">
        <f>SUMIFS('Plan rashoda za unos u SAP'!$I$3:$I$501,'Plan rashoda za unos u SAP'!$C$3:$C$501,"=43",'Plan rashoda za unos u SAP'!$M$3:$M$501,"=366")+SUMIFS('ANALITIKA EU PROJEKATA'!$G$3:$G$34,'ANALITIKA EU PROJEKATA'!$A$3:$A$34,"=43",'ANALITIKA EU PROJEKATA'!$P$3:$P$34,"=366")</f>
        <v>0</v>
      </c>
      <c r="J27" s="138">
        <f>SUMIFS('Plan rashoda za unos u SAP'!$I$3:$I$501,'Plan rashoda za unos u SAP'!$C$3:$C$501,"=51",'Plan rashoda za unos u SAP'!$M$3:$M$501,"=366")+SUMIFS('ANALITIKA EU PROJEKATA'!$G$3:$G$34,'ANALITIKA EU PROJEKATA'!$A$3:$A$34,"=51",'ANALITIKA EU PROJEKATA'!$P$3:$P$34,"=366")</f>
        <v>0</v>
      </c>
      <c r="K27" s="138">
        <f>SUMIFS('Plan rashoda za unos u SAP'!$I$3:$I$501,'Plan rashoda za unos u SAP'!$C$3:$C$501,"=52",'Plan rashoda za unos u SAP'!$M$3:$M$501,"=366")+SUMIFS('ANALITIKA EU PROJEKATA'!$G$3:$G$34,'ANALITIKA EU PROJEKATA'!$A$3:$A$34,"=52",'ANALITIKA EU PROJEKATA'!$P$3:$P$34,"=366")</f>
        <v>0</v>
      </c>
      <c r="L27" s="138">
        <f>SUMIFS('Plan rashoda za unos u SAP'!$I$3:$I$501,'Plan rashoda za unos u SAP'!$C$3:$C$501,"=552",'Plan rashoda za unos u SAP'!$M$3:$M$501,"=366")+SUMIFS('ANALITIKA EU PROJEKATA'!$G$3:$G$34,'ANALITIKA EU PROJEKATA'!$A$3:$A$34,"=552",'ANALITIKA EU PROJEKATA'!$P$3:$P$34,"=366")</f>
        <v>0</v>
      </c>
      <c r="M27" s="138">
        <f>SUMIFS('Plan rashoda za unos u SAP'!$I$3:$I$501,'Plan rashoda za unos u SAP'!$C$3:$C$501,"=559",'Plan rashoda za unos u SAP'!$M$3:$M$501,"=366")+SUMIFS('ANALITIKA EU PROJEKATA'!$G$3:$G$34,'ANALITIKA EU PROJEKATA'!$A$3:$A$34,"=559",'ANALITIKA EU PROJEKATA'!$P$3:$P$34,"=366")</f>
        <v>0</v>
      </c>
      <c r="N27" s="138">
        <f>SUMIFS('Plan rashoda za unos u SAP'!$I$3:$I$501,'Plan rashoda za unos u SAP'!$C$3:$C$501,"=561",'Plan rashoda za unos u SAP'!$M$3:$M$501,"=366")+SUMIFS('ANALITIKA EU PROJEKATA'!$G$3:$G$34,'ANALITIKA EU PROJEKATA'!$A$3:$A$34,"=561",'ANALITIKA EU PROJEKATA'!$P$3:$P$34,"=366")</f>
        <v>0</v>
      </c>
      <c r="O27" s="138">
        <f>SUMIFS('Plan rashoda za unos u SAP'!$I$3:$I$501,'Plan rashoda za unos u SAP'!$C$3:$C$501,"=563",'Plan rashoda za unos u SAP'!$M$3:$M$501,"=366")+SUMIFS('ANALITIKA EU PROJEKATA'!$G$3:$G$34,'ANALITIKA EU PROJEKATA'!$A$3:$A$34,"=563",'ANALITIKA EU PROJEKATA'!$P$3:$P$34,"=366")</f>
        <v>0</v>
      </c>
      <c r="P27" s="138">
        <f>SUMIFS('Plan rashoda za unos u SAP'!$I$3:$I$501,'Plan rashoda za unos u SAP'!$C$3:$C$501,"=573",'Plan rashoda za unos u SAP'!$M$3:$M$501,"=366")+SUMIFS('ANALITIKA EU PROJEKATA'!$G$3:$G$34,'ANALITIKA EU PROJEKATA'!$A$3:$A$34,"=573",'ANALITIKA EU PROJEKATA'!$P$3:$P$34,"=366")</f>
        <v>0</v>
      </c>
      <c r="Q27" s="138">
        <f>SUMIFS('Plan rashoda za unos u SAP'!$I$3:$I$501,'Plan rashoda za unos u SAP'!$C$3:$C$501,"=575",'Plan rashoda za unos u SAP'!$M$3:$M$501,"=366")+SUMIFS('ANALITIKA EU PROJEKATA'!$G$3:$G$34,'ANALITIKA EU PROJEKATA'!$A$3:$A$34,"=575",'ANALITIKA EU PROJEKATA'!$P$3:$P$34,"=366")</f>
        <v>0</v>
      </c>
      <c r="R27" s="138">
        <f>SUMIFS('Plan rashoda za unos u SAP'!$I$3:$I$501,'Plan rashoda za unos u SAP'!$C$3:$C$501,"=576",'Plan rashoda za unos u SAP'!$M$3:$M$501,"=366")+SUMIFS('ANALITIKA EU PROJEKATA'!$G$3:$G$34,'ANALITIKA EU PROJEKATA'!$A$3:$A$34,"=576",'ANALITIKA EU PROJEKATA'!$P$3:$P$34,"=366")</f>
        <v>0</v>
      </c>
      <c r="S27" s="138">
        <f>SUMIFS('Plan rashoda za unos u SAP'!$I$3:$I$501,'Plan rashoda za unos u SAP'!$C$3:$C$501,"=581",'Plan rashoda za unos u SAP'!$M$3:$M$501,"=366")+SUMIFS('ANALITIKA EU PROJEKATA'!$G$3:$G$34,'ANALITIKA EU PROJEKATA'!$A$3:$A$34,"=581",'ANALITIKA EU PROJEKATA'!$P$3:$P$34,"=366")</f>
        <v>0</v>
      </c>
      <c r="T27" s="138">
        <f>SUMIFS('Plan rashoda za unos u SAP'!$I$3:$I$501,'Plan rashoda za unos u SAP'!$C$3:$C$501,"=61",'Plan rashoda za unos u SAP'!$M$3:$M$501,"=366")+SUMIFS('ANALITIKA EU PROJEKATA'!$G$3:$G$34,'ANALITIKA EU PROJEKATA'!$A$3:$A$34,"=61",'ANALITIKA EU PROJEKATA'!$P$3:$P$34,"=366")</f>
        <v>0</v>
      </c>
      <c r="U27" s="138">
        <f>SUMIFS('Plan rashoda za unos u SAP'!$I$3:$I$501,'Plan rashoda za unos u SAP'!$C$3:$C$501,"=63",'Plan rashoda za unos u SAP'!$M$3:$M$501,"=366")+SUMIFS('ANALITIKA EU PROJEKATA'!$G$3:$G$34,'ANALITIKA EU PROJEKATA'!$A$3:$A$34,"=63",'ANALITIKA EU PROJEKATA'!$P$3:$P$34,"=366")</f>
        <v>0</v>
      </c>
      <c r="V27" s="138">
        <f>SUMIFS('Plan rashoda za unos u SAP'!$I$3:$I$501,'Plan rashoda za unos u SAP'!$C$3:$C$501,"=71",'Plan rashoda za unos u SAP'!$M$3:$M$501,"=366")+SUMIFS('ANALITIKA EU PROJEKATA'!$G$3:$G$34,'ANALITIKA EU PROJEKATA'!$A$3:$A$34,"=71",'ANALITIKA EU PROJEKATA'!$P$3:$P$34,"=366")</f>
        <v>0</v>
      </c>
      <c r="W27" s="138">
        <f>SUMIFS('Plan rashoda za unos u SAP'!$I$3:$I$501,'Plan rashoda za unos u SAP'!$C$3:$C$501,"=81",'Plan rashoda za unos u SAP'!$M$3:$M$501,"=366")+SUMIFS('ANALITIKA EU PROJEKATA'!$G$3:$G$34,'ANALITIKA EU PROJEKATA'!$A$3:$A$34,"=81",'ANALITIKA EU PROJEKATA'!$P$3:$P$34,"=366")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PROJEKATA'!$G$3:$G$34,'ANALITIKA EU PROJEKATA'!$A$3:$A$34,"=11",'ANALITIKA EU PROJEKATA'!$P$3:$P$34,"=368")</f>
        <v>0</v>
      </c>
      <c r="F28" s="138">
        <f>SUMIFS('Plan rashoda za unos u SAP'!$I$3:$I$501,'Plan rashoda za unos u SAP'!$C$3:$C$501,"=12",'Plan rashoda za unos u SAP'!$M$3:$M$501,"=368")+SUMIFS('ANALITIKA EU PROJEKATA'!$G$3:$G$34,'ANALITIKA EU PROJEKATA'!$A$3:$A$34,"=12",'ANALITIKA EU PROJEKATA'!$P$3:$P$34,"=368")</f>
        <v>0</v>
      </c>
      <c r="G28" s="138">
        <f>SUMIFS('Plan rashoda za unos u SAP'!$I$3:$I$501,'Plan rashoda za unos u SAP'!$C$3:$C$501,"=31",'Plan rashoda za unos u SAP'!$M$3:$M$501,"=368")+SUMIFS('ANALITIKA EU PROJEKATA'!$G$3:$G$34,'ANALITIKA EU PROJEKATA'!$A$3:$A$34,"=31",'ANALITIKA EU PROJEKATA'!$P$3:$P$34,"=368")</f>
        <v>0</v>
      </c>
      <c r="H28" s="138">
        <f>SUMIFS('Plan rashoda za unos u SAP'!$I$3:$I$501,'Plan rashoda za unos u SAP'!$C$3:$C$501,"=41",'Plan rashoda za unos u SAP'!$M$3:$M$501,"=368")+SUMIFS('ANALITIKA EU PROJEKATA'!$G$3:$G$34,'ANALITIKA EU PROJEKATA'!$A$3:$A$34,"=41",'ANALITIKA EU PROJEKATA'!$P$3:$P$34,"=368")</f>
        <v>0</v>
      </c>
      <c r="I28" s="138">
        <f>SUMIFS('Plan rashoda za unos u SAP'!$I$3:$I$501,'Plan rashoda za unos u SAP'!$C$3:$C$501,"=43",'Plan rashoda za unos u SAP'!$M$3:$M$501,"=368")+SUMIFS('ANALITIKA EU PROJEKATA'!$G$3:$G$34,'ANALITIKA EU PROJEKATA'!$A$3:$A$34,"=43",'ANALITIKA EU PROJEKATA'!$P$3:$P$34,"=368")</f>
        <v>0</v>
      </c>
      <c r="J28" s="138">
        <f>SUMIFS('Plan rashoda za unos u SAP'!$I$3:$I$501,'Plan rashoda za unos u SAP'!$C$3:$C$501,"=51",'Plan rashoda za unos u SAP'!$M$3:$M$501,"=368")+SUMIFS('ANALITIKA EU PROJEKATA'!$G$3:$G$34,'ANALITIKA EU PROJEKATA'!$A$3:$A$34,"=51",'ANALITIKA EU PROJEKATA'!$P$3:$P$34,"=368")</f>
        <v>0</v>
      </c>
      <c r="K28" s="138">
        <f>SUMIFS('Plan rashoda za unos u SAP'!$I$3:$I$501,'Plan rashoda za unos u SAP'!$C$3:$C$501,"=52",'Plan rashoda za unos u SAP'!$M$3:$M$501,"=368")+SUMIFS('ANALITIKA EU PROJEKATA'!$G$3:$G$34,'ANALITIKA EU PROJEKATA'!$A$3:$A$34,"=52",'ANALITIKA EU PROJEKATA'!$P$3:$P$34,"=368")</f>
        <v>0</v>
      </c>
      <c r="L28" s="138">
        <f>SUMIFS('Plan rashoda za unos u SAP'!$I$3:$I$501,'Plan rashoda za unos u SAP'!$C$3:$C$501,"=552",'Plan rashoda za unos u SAP'!$M$3:$M$501,"=368")+SUMIFS('ANALITIKA EU PROJEKATA'!$G$3:$G$34,'ANALITIKA EU PROJEKATA'!$A$3:$A$34,"=552",'ANALITIKA EU PROJEKATA'!$P$3:$P$34,"=368")</f>
        <v>0</v>
      </c>
      <c r="M28" s="138">
        <f>SUMIFS('Plan rashoda za unos u SAP'!$I$3:$I$501,'Plan rashoda za unos u SAP'!$C$3:$C$501,"=559",'Plan rashoda za unos u SAP'!$M$3:$M$501,"=368")+SUMIFS('ANALITIKA EU PROJEKATA'!$G$3:$G$34,'ANALITIKA EU PROJEKATA'!$A$3:$A$34,"=559",'ANALITIKA EU PROJEKATA'!$P$3:$P$34,"=368")</f>
        <v>0</v>
      </c>
      <c r="N28" s="138">
        <f>SUMIFS('Plan rashoda za unos u SAP'!$I$3:$I$501,'Plan rashoda za unos u SAP'!$C$3:$C$501,"=561",'Plan rashoda za unos u SAP'!$M$3:$M$501,"=368")+SUMIFS('ANALITIKA EU PROJEKATA'!$G$3:$G$34,'ANALITIKA EU PROJEKATA'!$A$3:$A$34,"=561",'ANALITIKA EU PROJEKATA'!$P$3:$P$34,"=368")</f>
        <v>0</v>
      </c>
      <c r="O28" s="138">
        <f>SUMIFS('Plan rashoda za unos u SAP'!$I$3:$I$501,'Plan rashoda za unos u SAP'!$C$3:$C$501,"=563",'Plan rashoda za unos u SAP'!$M$3:$M$501,"=368")+SUMIFS('ANALITIKA EU PROJEKATA'!$G$3:$G$34,'ANALITIKA EU PROJEKATA'!$A$3:$A$34,"=563",'ANALITIKA EU PROJEKATA'!$P$3:$P$34,"=368")</f>
        <v>0</v>
      </c>
      <c r="P28" s="138">
        <f>SUMIFS('Plan rashoda za unos u SAP'!$I$3:$I$501,'Plan rashoda za unos u SAP'!$C$3:$C$501,"=573",'Plan rashoda za unos u SAP'!$M$3:$M$501,"=368")+SUMIFS('ANALITIKA EU PROJEKATA'!$G$3:$G$34,'ANALITIKA EU PROJEKATA'!$A$3:$A$34,"=573",'ANALITIKA EU PROJEKATA'!$P$3:$P$34,"=368")</f>
        <v>0</v>
      </c>
      <c r="Q28" s="138">
        <f>SUMIFS('Plan rashoda za unos u SAP'!$I$3:$I$501,'Plan rashoda za unos u SAP'!$C$3:$C$501,"=575",'Plan rashoda za unos u SAP'!$M$3:$M$501,"=368")+SUMIFS('ANALITIKA EU PROJEKATA'!$G$3:$G$34,'ANALITIKA EU PROJEKATA'!$A$3:$A$34,"=575",'ANALITIKA EU PROJEKATA'!$P$3:$P$34,"=368")</f>
        <v>0</v>
      </c>
      <c r="R28" s="138">
        <f>SUMIFS('Plan rashoda za unos u SAP'!$I$3:$I$501,'Plan rashoda za unos u SAP'!$C$3:$C$501,"=576",'Plan rashoda za unos u SAP'!$M$3:$M$501,"=368")+SUMIFS('ANALITIKA EU PROJEKATA'!$G$3:$G$34,'ANALITIKA EU PROJEKATA'!$A$3:$A$34,"=576",'ANALITIKA EU PROJEKATA'!$P$3:$P$34,"=368")</f>
        <v>0</v>
      </c>
      <c r="S28" s="138">
        <f>SUMIFS('Plan rashoda za unos u SAP'!$I$3:$I$501,'Plan rashoda za unos u SAP'!$C$3:$C$501,"=581",'Plan rashoda za unos u SAP'!$M$3:$M$501,"=368")+SUMIFS('ANALITIKA EU PROJEKATA'!$G$3:$G$34,'ANALITIKA EU PROJEKATA'!$A$3:$A$34,"=581",'ANALITIKA EU PROJEKATA'!$P$3:$P$34,"=368")</f>
        <v>0</v>
      </c>
      <c r="T28" s="138">
        <f>SUMIFS('Plan rashoda za unos u SAP'!$I$3:$I$501,'Plan rashoda za unos u SAP'!$C$3:$C$501,"=61",'Plan rashoda za unos u SAP'!$M$3:$M$501,"=368")+SUMIFS('ANALITIKA EU PROJEKATA'!$G$3:$G$34,'ANALITIKA EU PROJEKATA'!$A$3:$A$34,"=61",'ANALITIKA EU PROJEKATA'!$P$3:$P$34,"=368")</f>
        <v>0</v>
      </c>
      <c r="U28" s="138">
        <f>SUMIFS('Plan rashoda za unos u SAP'!$I$3:$I$501,'Plan rashoda za unos u SAP'!$C$3:$C$501,"=63",'Plan rashoda za unos u SAP'!$M$3:$M$501,"=368")+SUMIFS('ANALITIKA EU PROJEKATA'!$G$3:$G$34,'ANALITIKA EU PROJEKATA'!$A$3:$A$34,"=63",'ANALITIKA EU PROJEKATA'!$P$3:$P$34,"=368")</f>
        <v>0</v>
      </c>
      <c r="V28" s="138">
        <f>SUMIFS('Plan rashoda za unos u SAP'!$I$3:$I$501,'Plan rashoda za unos u SAP'!$C$3:$C$501,"=71",'Plan rashoda za unos u SAP'!$M$3:$M$501,"=368")+SUMIFS('ANALITIKA EU PROJEKATA'!$G$3:$G$34,'ANALITIKA EU PROJEKATA'!$A$3:$A$34,"=71",'ANALITIKA EU PROJEKATA'!$P$3:$P$34,"=368")</f>
        <v>0</v>
      </c>
      <c r="W28" s="138">
        <f>SUMIFS('Plan rashoda za unos u SAP'!$I$3:$I$501,'Plan rashoda za unos u SAP'!$C$3:$C$501,"=81",'Plan rashoda za unos u SAP'!$M$3:$M$501,"=368")+SUMIFS('ANALITIKA EU PROJEKATA'!$G$3:$G$34,'ANALITIKA EU PROJEKATA'!$A$3:$A$34,"=81",'ANALITIKA EU PROJEKATA'!$P$3:$P$34,"=368")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PROJEKATA'!$G$3:$G$34,'ANALITIKA EU PROJEKATA'!$A$3:$A$34,"=11",'ANALITIKA EU PROJEKATA'!$P$3:$P$34,"=369")</f>
        <v>0</v>
      </c>
      <c r="F29" s="138">
        <f>SUMIFS('Plan rashoda za unos u SAP'!$I$3:$I$501,'Plan rashoda za unos u SAP'!$C$3:$C$501,"=12",'Plan rashoda za unos u SAP'!$M$3:$M$501,"=369")+SUMIFS('ANALITIKA EU PROJEKATA'!$G$3:$G$34,'ANALITIKA EU PROJEKATA'!$A$3:$A$34,"=12",'ANALITIKA EU PROJEKATA'!$P$3:$P$34,"=369")</f>
        <v>0</v>
      </c>
      <c r="G29" s="138">
        <f>SUMIFS('Plan rashoda za unos u SAP'!$I$3:$I$501,'Plan rashoda za unos u SAP'!$C$3:$C$501,"=31",'Plan rashoda za unos u SAP'!$M$3:$M$501,"=369")+SUMIFS('ANALITIKA EU PROJEKATA'!$G$3:$G$34,'ANALITIKA EU PROJEKATA'!$A$3:$A$34,"=31",'ANALITIKA EU PROJEKATA'!$P$3:$P$34,"=369")</f>
        <v>0</v>
      </c>
      <c r="H29" s="138">
        <f>SUMIFS('Plan rashoda za unos u SAP'!$I$3:$I$501,'Plan rashoda za unos u SAP'!$C$3:$C$501,"=41",'Plan rashoda za unos u SAP'!$M$3:$M$501,"=369")+SUMIFS('ANALITIKA EU PROJEKATA'!$G$3:$G$34,'ANALITIKA EU PROJEKATA'!$A$3:$A$34,"=41",'ANALITIKA EU PROJEKATA'!$P$3:$P$34,"=369")</f>
        <v>0</v>
      </c>
      <c r="I29" s="138">
        <f>SUMIFS('Plan rashoda za unos u SAP'!$I$3:$I$501,'Plan rashoda za unos u SAP'!$C$3:$C$501,"=43",'Plan rashoda za unos u SAP'!$M$3:$M$501,"=369")+SUMIFS('ANALITIKA EU PROJEKATA'!$G$3:$G$34,'ANALITIKA EU PROJEKATA'!$A$3:$A$34,"=43",'ANALITIKA EU PROJEKATA'!$P$3:$P$34,"=369")</f>
        <v>0</v>
      </c>
      <c r="J29" s="138">
        <f>SUMIFS('Plan rashoda za unos u SAP'!$I$3:$I$501,'Plan rashoda za unos u SAP'!$C$3:$C$501,"=51",'Plan rashoda za unos u SAP'!$M$3:$M$501,"=369")+SUMIFS('ANALITIKA EU PROJEKATA'!$G$3:$G$34,'ANALITIKA EU PROJEKATA'!$A$3:$A$34,"=51",'ANALITIKA EU PROJEKATA'!$P$3:$P$34,"=369")</f>
        <v>0</v>
      </c>
      <c r="K29" s="138">
        <f>SUMIFS('Plan rashoda za unos u SAP'!$I$3:$I$501,'Plan rashoda za unos u SAP'!$C$3:$C$501,"=52",'Plan rashoda za unos u SAP'!$M$3:$M$501,"=369")+SUMIFS('ANALITIKA EU PROJEKATA'!$G$3:$G$34,'ANALITIKA EU PROJEKATA'!$A$3:$A$34,"=52",'ANALITIKA EU PROJEKATA'!$P$3:$P$34,"=369")</f>
        <v>0</v>
      </c>
      <c r="L29" s="138">
        <f>SUMIFS('Plan rashoda za unos u SAP'!$I$3:$I$501,'Plan rashoda za unos u SAP'!$C$3:$C$501,"=552",'Plan rashoda za unos u SAP'!$M$3:$M$501,"=369")+SUMIFS('ANALITIKA EU PROJEKATA'!$G$3:$G$34,'ANALITIKA EU PROJEKATA'!$A$3:$A$34,"=552",'ANALITIKA EU PROJEKATA'!$P$3:$P$34,"=369")</f>
        <v>0</v>
      </c>
      <c r="M29" s="138">
        <f>SUMIFS('Plan rashoda za unos u SAP'!$I$3:$I$501,'Plan rashoda za unos u SAP'!$C$3:$C$501,"=559",'Plan rashoda za unos u SAP'!$M$3:$M$501,"=369")+SUMIFS('ANALITIKA EU PROJEKATA'!$G$3:$G$34,'ANALITIKA EU PROJEKATA'!$A$3:$A$34,"=559",'ANALITIKA EU PROJEKATA'!$P$3:$P$34,"=369")</f>
        <v>0</v>
      </c>
      <c r="N29" s="138">
        <f>SUMIFS('Plan rashoda za unos u SAP'!$I$3:$I$501,'Plan rashoda za unos u SAP'!$C$3:$C$501,"=561",'Plan rashoda za unos u SAP'!$M$3:$M$501,"=369")+SUMIFS('ANALITIKA EU PROJEKATA'!$G$3:$G$34,'ANALITIKA EU PROJEKATA'!$A$3:$A$34,"=561",'ANALITIKA EU PROJEKATA'!$P$3:$P$34,"=369")</f>
        <v>0</v>
      </c>
      <c r="O29" s="138">
        <f>SUMIFS('Plan rashoda za unos u SAP'!$I$3:$I$501,'Plan rashoda za unos u SAP'!$C$3:$C$501,"=563",'Plan rashoda za unos u SAP'!$M$3:$M$501,"=369")+SUMIFS('ANALITIKA EU PROJEKATA'!$G$3:$G$34,'ANALITIKA EU PROJEKATA'!$A$3:$A$34,"=563",'ANALITIKA EU PROJEKATA'!$P$3:$P$34,"=369")</f>
        <v>0</v>
      </c>
      <c r="P29" s="138">
        <f>SUMIFS('Plan rashoda za unos u SAP'!$I$3:$I$501,'Plan rashoda za unos u SAP'!$C$3:$C$501,"=573",'Plan rashoda za unos u SAP'!$M$3:$M$501,"=369")+SUMIFS('ANALITIKA EU PROJEKATA'!$G$3:$G$34,'ANALITIKA EU PROJEKATA'!$A$3:$A$34,"=573",'ANALITIKA EU PROJEKATA'!$P$3:$P$34,"=369")</f>
        <v>0</v>
      </c>
      <c r="Q29" s="138">
        <f>SUMIFS('Plan rashoda za unos u SAP'!$I$3:$I$501,'Plan rashoda za unos u SAP'!$C$3:$C$501,"=575",'Plan rashoda za unos u SAP'!$M$3:$M$501,"=369")+SUMIFS('ANALITIKA EU PROJEKATA'!$G$3:$G$34,'ANALITIKA EU PROJEKATA'!$A$3:$A$34,"=575",'ANALITIKA EU PROJEKATA'!$P$3:$P$34,"=369")</f>
        <v>0</v>
      </c>
      <c r="R29" s="138">
        <f>SUMIFS('Plan rashoda za unos u SAP'!$I$3:$I$501,'Plan rashoda za unos u SAP'!$C$3:$C$501,"=576",'Plan rashoda za unos u SAP'!$M$3:$M$501,"=369")+SUMIFS('ANALITIKA EU PROJEKATA'!$G$3:$G$34,'ANALITIKA EU PROJEKATA'!$A$3:$A$34,"=576",'ANALITIKA EU PROJEKATA'!$P$3:$P$34,"=369")</f>
        <v>0</v>
      </c>
      <c r="S29" s="138">
        <f>SUMIFS('Plan rashoda za unos u SAP'!$I$3:$I$501,'Plan rashoda za unos u SAP'!$C$3:$C$501,"=581",'Plan rashoda za unos u SAP'!$M$3:$M$501,"=369")+SUMIFS('ANALITIKA EU PROJEKATA'!$G$3:$G$34,'ANALITIKA EU PROJEKATA'!$A$3:$A$34,"=581",'ANALITIKA EU PROJEKATA'!$P$3:$P$34,"=369")</f>
        <v>0</v>
      </c>
      <c r="T29" s="138">
        <f>SUMIFS('Plan rashoda za unos u SAP'!$I$3:$I$501,'Plan rashoda za unos u SAP'!$C$3:$C$501,"=61",'Plan rashoda za unos u SAP'!$M$3:$M$501,"=369")+SUMIFS('ANALITIKA EU PROJEKATA'!$G$3:$G$34,'ANALITIKA EU PROJEKATA'!$A$3:$A$34,"=61",'ANALITIKA EU PROJEKATA'!$P$3:$P$34,"=369")</f>
        <v>0</v>
      </c>
      <c r="U29" s="138">
        <f>SUMIFS('Plan rashoda za unos u SAP'!$I$3:$I$501,'Plan rashoda za unos u SAP'!$C$3:$C$501,"=63",'Plan rashoda za unos u SAP'!$M$3:$M$501,"=369")+SUMIFS('ANALITIKA EU PROJEKATA'!$G$3:$G$34,'ANALITIKA EU PROJEKATA'!$A$3:$A$34,"=63",'ANALITIKA EU PROJEKATA'!$P$3:$P$34,"=369")</f>
        <v>0</v>
      </c>
      <c r="V29" s="138">
        <f>SUMIFS('Plan rashoda za unos u SAP'!$I$3:$I$501,'Plan rashoda za unos u SAP'!$C$3:$C$501,"=71",'Plan rashoda za unos u SAP'!$M$3:$M$501,"=369")+SUMIFS('ANALITIKA EU PROJEKATA'!$G$3:$G$34,'ANALITIKA EU PROJEKATA'!$A$3:$A$34,"=71",'ANALITIKA EU PROJEKATA'!$P$3:$P$34,"=369")</f>
        <v>0</v>
      </c>
      <c r="W29" s="138">
        <f>SUMIFS('Plan rashoda za unos u SAP'!$I$3:$I$501,'Plan rashoda za unos u SAP'!$C$3:$C$501,"=81",'Plan rashoda za unos u SAP'!$M$3:$M$501,"=369")+SUMIFS('ANALITIKA EU PROJEKATA'!$G$3:$G$34,'ANALITIKA EU PROJEKATA'!$A$3:$A$34,"=81",'ANALITIKA EU PROJEKATA'!$P$3:$P$34,"=369")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PROJEKATA'!$G$3:$G$34,'ANALITIKA EU PROJEKATA'!$A$3:$A$34,"=11",'ANALITIKA EU PROJEKATA'!$P$3:$P$34,"=371")</f>
        <v>0</v>
      </c>
      <c r="F31" s="138">
        <f>SUMIFS('Plan rashoda za unos u SAP'!$I$3:$I$501,'Plan rashoda za unos u SAP'!$C$3:$C$501,"=12",'Plan rashoda za unos u SAP'!$M$3:$M$501,"=371")+SUMIFS('ANALITIKA EU PROJEKATA'!$G$3:$G$34,'ANALITIKA EU PROJEKATA'!$A$3:$A$34,"=12",'ANALITIKA EU PROJEKATA'!$P$3:$P$34,"=371")</f>
        <v>0</v>
      </c>
      <c r="G31" s="138">
        <f>SUMIFS('Plan rashoda za unos u SAP'!$I$3:$I$501,'Plan rashoda za unos u SAP'!$C$3:$C$501,"=31",'Plan rashoda za unos u SAP'!$M$3:$M$501,"=371")+SUMIFS('ANALITIKA EU PROJEKATA'!$G$3:$G$34,'ANALITIKA EU PROJEKATA'!$A$3:$A$34,"=31",'ANALITIKA EU PROJEKATA'!$P$3:$P$34,"=371")</f>
        <v>0</v>
      </c>
      <c r="H31" s="138">
        <f>SUMIFS('Plan rashoda za unos u SAP'!$I$3:$I$501,'Plan rashoda za unos u SAP'!$C$3:$C$501,"=41",'Plan rashoda za unos u SAP'!$M$3:$M$501,"=371")+SUMIFS('ANALITIKA EU PROJEKATA'!$G$3:$G$34,'ANALITIKA EU PROJEKATA'!$A$3:$A$34,"=41",'ANALITIKA EU PROJEKATA'!$P$3:$P$34,"=371")</f>
        <v>0</v>
      </c>
      <c r="I31" s="138">
        <f>SUMIFS('Plan rashoda za unos u SAP'!$I$3:$I$501,'Plan rashoda za unos u SAP'!$C$3:$C$501,"=43",'Plan rashoda za unos u SAP'!$M$3:$M$501,"=371")+SUMIFS('ANALITIKA EU PROJEKATA'!$G$3:$G$34,'ANALITIKA EU PROJEKATA'!$A$3:$A$34,"=43",'ANALITIKA EU PROJEKATA'!$P$3:$P$34,"=371")</f>
        <v>0</v>
      </c>
      <c r="J31" s="138">
        <f>SUMIFS('Plan rashoda za unos u SAP'!$I$3:$I$501,'Plan rashoda za unos u SAP'!$C$3:$C$501,"=51",'Plan rashoda za unos u SAP'!$M$3:$M$501,"=371")+SUMIFS('ANALITIKA EU PROJEKATA'!$G$3:$G$34,'ANALITIKA EU PROJEKATA'!$A$3:$A$34,"=51",'ANALITIKA EU PROJEKATA'!$P$3:$P$34,"=371")</f>
        <v>0</v>
      </c>
      <c r="K31" s="138">
        <f>SUMIFS('Plan rashoda za unos u SAP'!$I$3:$I$501,'Plan rashoda za unos u SAP'!$C$3:$C$501,"=52",'Plan rashoda za unos u SAP'!$M$3:$M$501,"=371")+SUMIFS('ANALITIKA EU PROJEKATA'!$G$3:$G$34,'ANALITIKA EU PROJEKATA'!$A$3:$A$34,"=52",'ANALITIKA EU PROJEKATA'!$P$3:$P$34,"=371")</f>
        <v>0</v>
      </c>
      <c r="L31" s="138">
        <f>SUMIFS('Plan rashoda za unos u SAP'!$I$3:$I$501,'Plan rashoda za unos u SAP'!$C$3:$C$501,"=552",'Plan rashoda za unos u SAP'!$M$3:$M$501,"=371")+SUMIFS('ANALITIKA EU PROJEKATA'!$G$3:$G$34,'ANALITIKA EU PROJEKATA'!$A$3:$A$34,"=552",'ANALITIKA EU PROJEKATA'!$P$3:$P$34,"=371")</f>
        <v>0</v>
      </c>
      <c r="M31" s="138">
        <f>SUMIFS('Plan rashoda za unos u SAP'!$I$3:$I$501,'Plan rashoda za unos u SAP'!$C$3:$C$501,"=559",'Plan rashoda za unos u SAP'!$M$3:$M$501,"=371")+SUMIFS('ANALITIKA EU PROJEKATA'!$G$3:$G$34,'ANALITIKA EU PROJEKATA'!$A$3:$A$34,"=559",'ANALITIKA EU PROJEKATA'!$P$3:$P$34,"=371")</f>
        <v>0</v>
      </c>
      <c r="N31" s="138">
        <f>SUMIFS('Plan rashoda za unos u SAP'!$I$3:$I$501,'Plan rashoda za unos u SAP'!$C$3:$C$501,"=561",'Plan rashoda za unos u SAP'!$M$3:$M$501,"=371")+SUMIFS('ANALITIKA EU PROJEKATA'!$G$3:$G$34,'ANALITIKA EU PROJEKATA'!$A$3:$A$34,"=561",'ANALITIKA EU PROJEKATA'!$P$3:$P$34,"=371")</f>
        <v>0</v>
      </c>
      <c r="O31" s="138">
        <f>SUMIFS('Plan rashoda za unos u SAP'!$I$3:$I$501,'Plan rashoda za unos u SAP'!$C$3:$C$501,"=563",'Plan rashoda za unos u SAP'!$M$3:$M$501,"=371")+SUMIFS('ANALITIKA EU PROJEKATA'!$G$3:$G$34,'ANALITIKA EU PROJEKATA'!$A$3:$A$34,"=563",'ANALITIKA EU PROJEKATA'!$P$3:$P$34,"=371")</f>
        <v>0</v>
      </c>
      <c r="P31" s="138">
        <f>SUMIFS('Plan rashoda za unos u SAP'!$I$3:$I$501,'Plan rashoda za unos u SAP'!$C$3:$C$501,"=573",'Plan rashoda za unos u SAP'!$M$3:$M$501,"=371")+SUMIFS('ANALITIKA EU PROJEKATA'!$G$3:$G$34,'ANALITIKA EU PROJEKATA'!$A$3:$A$34,"=573",'ANALITIKA EU PROJEKATA'!$P$3:$P$34,"=371")</f>
        <v>0</v>
      </c>
      <c r="Q31" s="138">
        <f>SUMIFS('Plan rashoda za unos u SAP'!$I$3:$I$501,'Plan rashoda za unos u SAP'!$C$3:$C$501,"=575",'Plan rashoda za unos u SAP'!$M$3:$M$501,"=371")+SUMIFS('ANALITIKA EU PROJEKATA'!$G$3:$G$34,'ANALITIKA EU PROJEKATA'!$A$3:$A$34,"=575",'ANALITIKA EU PROJEKATA'!$P$3:$P$34,"=371")</f>
        <v>0</v>
      </c>
      <c r="R31" s="138">
        <f>SUMIFS('Plan rashoda za unos u SAP'!$I$3:$I$501,'Plan rashoda za unos u SAP'!$C$3:$C$501,"=576",'Plan rashoda za unos u SAP'!$M$3:$M$501,"=371")+SUMIFS('ANALITIKA EU PROJEKATA'!$G$3:$G$34,'ANALITIKA EU PROJEKATA'!$A$3:$A$34,"=576",'ANALITIKA EU PROJEKATA'!$P$3:$P$34,"=371")</f>
        <v>0</v>
      </c>
      <c r="S31" s="138">
        <f>SUMIFS('Plan rashoda za unos u SAP'!$I$3:$I$501,'Plan rashoda za unos u SAP'!$C$3:$C$501,"=581",'Plan rashoda za unos u SAP'!$M$3:$M$501,"=371")+SUMIFS('ANALITIKA EU PROJEKATA'!$G$3:$G$34,'ANALITIKA EU PROJEKATA'!$A$3:$A$34,"=581",'ANALITIKA EU PROJEKATA'!$P$3:$P$34,"=371")</f>
        <v>0</v>
      </c>
      <c r="T31" s="138">
        <f>SUMIFS('Plan rashoda za unos u SAP'!$I$3:$I$501,'Plan rashoda za unos u SAP'!$C$3:$C$501,"=61",'Plan rashoda za unos u SAP'!$M$3:$M$501,"=371")+SUMIFS('ANALITIKA EU PROJEKATA'!$G$3:$G$34,'ANALITIKA EU PROJEKATA'!$A$3:$A$34,"=61",'ANALITIKA EU PROJEKATA'!$P$3:$P$34,"=371")</f>
        <v>0</v>
      </c>
      <c r="U31" s="138">
        <f>SUMIFS('Plan rashoda za unos u SAP'!$I$3:$I$501,'Plan rashoda za unos u SAP'!$C$3:$C$501,"=63",'Plan rashoda za unos u SAP'!$M$3:$M$501,"=371")+SUMIFS('ANALITIKA EU PROJEKATA'!$G$3:$G$34,'ANALITIKA EU PROJEKATA'!$A$3:$A$34,"=63",'ANALITIKA EU PROJEKATA'!$P$3:$P$34,"=371")</f>
        <v>0</v>
      </c>
      <c r="V31" s="138">
        <f>SUMIFS('Plan rashoda za unos u SAP'!$I$3:$I$501,'Plan rashoda za unos u SAP'!$C$3:$C$501,"=71",'Plan rashoda za unos u SAP'!$M$3:$M$501,"=371")+SUMIFS('ANALITIKA EU PROJEKATA'!$G$3:$G$34,'ANALITIKA EU PROJEKATA'!$A$3:$A$34,"=71",'ANALITIKA EU PROJEKATA'!$P$3:$P$34,"=371")</f>
        <v>0</v>
      </c>
      <c r="W31" s="138">
        <f>SUMIFS('Plan rashoda za unos u SAP'!$I$3:$I$501,'Plan rashoda za unos u SAP'!$C$3:$C$501,"=81",'Plan rashoda za unos u SAP'!$M$3:$M$501,"=371")+SUMIFS('ANALITIKA EU PROJEKATA'!$G$3:$G$34,'ANALITIKA EU PROJEKATA'!$A$3:$A$34,"=81",'ANALITIKA EU PROJEKATA'!$P$3:$P$34,"=371")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PROJEKATA'!$G$3:$G$34,'ANALITIKA EU PROJEKATA'!$A$3:$A$34,"=11",'ANALITIKA EU PROJEKATA'!$P$3:$P$34,"=372")</f>
        <v>0</v>
      </c>
      <c r="F32" s="138">
        <f>SUMIFS('Plan rashoda za unos u SAP'!$I$3:$I$501,'Plan rashoda za unos u SAP'!$C$3:$C$501,"=12",'Plan rashoda za unos u SAP'!$M$3:$M$501,"=372")+SUMIFS('ANALITIKA EU PROJEKATA'!$G$3:$G$34,'ANALITIKA EU PROJEKATA'!$A$3:$A$34,"=12",'ANALITIKA EU PROJEKATA'!$P$3:$P$34,"=372")</f>
        <v>0</v>
      </c>
      <c r="G32" s="138">
        <f>SUMIFS('Plan rashoda za unos u SAP'!$I$3:$I$501,'Plan rashoda za unos u SAP'!$C$3:$C$501,"=31",'Plan rashoda za unos u SAP'!$M$3:$M$501,"=372")+SUMIFS('ANALITIKA EU PROJEKATA'!$G$3:$G$34,'ANALITIKA EU PROJEKATA'!$A$3:$A$34,"=31",'ANALITIKA EU PROJEKATA'!$P$3:$P$34,"=372")</f>
        <v>0</v>
      </c>
      <c r="H32" s="138">
        <f>SUMIFS('Plan rashoda za unos u SAP'!$I$3:$I$501,'Plan rashoda za unos u SAP'!$C$3:$C$501,"=41",'Plan rashoda za unos u SAP'!$M$3:$M$501,"=372")+SUMIFS('ANALITIKA EU PROJEKATA'!$G$3:$G$34,'ANALITIKA EU PROJEKATA'!$A$3:$A$34,"=41",'ANALITIKA EU PROJEKATA'!$P$3:$P$34,"=372")</f>
        <v>0</v>
      </c>
      <c r="I32" s="138">
        <f>SUMIFS('Plan rashoda za unos u SAP'!$I$3:$I$501,'Plan rashoda za unos u SAP'!$C$3:$C$501,"=43",'Plan rashoda za unos u SAP'!$M$3:$M$501,"=372")+SUMIFS('ANALITIKA EU PROJEKATA'!$G$3:$G$34,'ANALITIKA EU PROJEKATA'!$A$3:$A$34,"=43",'ANALITIKA EU PROJEKATA'!$P$3:$P$34,"=372")</f>
        <v>0</v>
      </c>
      <c r="J32" s="138">
        <f>SUMIFS('Plan rashoda za unos u SAP'!$I$3:$I$501,'Plan rashoda za unos u SAP'!$C$3:$C$501,"=51",'Plan rashoda za unos u SAP'!$M$3:$M$501,"=372")+SUMIFS('ANALITIKA EU PROJEKATA'!$G$3:$G$34,'ANALITIKA EU PROJEKATA'!$A$3:$A$34,"=51",'ANALITIKA EU PROJEKATA'!$P$3:$P$34,"=372")</f>
        <v>0</v>
      </c>
      <c r="K32" s="138">
        <f>SUMIFS('Plan rashoda za unos u SAP'!$I$3:$I$501,'Plan rashoda za unos u SAP'!$C$3:$C$501,"=52",'Plan rashoda za unos u SAP'!$M$3:$M$501,"=372")+SUMIFS('ANALITIKA EU PROJEKATA'!$G$3:$G$34,'ANALITIKA EU PROJEKATA'!$A$3:$A$34,"=52",'ANALITIKA EU PROJEKATA'!$P$3:$P$34,"=372")</f>
        <v>0</v>
      </c>
      <c r="L32" s="138">
        <f>SUMIFS('Plan rashoda za unos u SAP'!$I$3:$I$501,'Plan rashoda za unos u SAP'!$C$3:$C$501,"=552",'Plan rashoda za unos u SAP'!$M$3:$M$501,"=372")+SUMIFS('ANALITIKA EU PROJEKATA'!$G$3:$G$34,'ANALITIKA EU PROJEKATA'!$A$3:$A$34,"=552",'ANALITIKA EU PROJEKATA'!$P$3:$P$34,"=372")</f>
        <v>0</v>
      </c>
      <c r="M32" s="138">
        <f>SUMIFS('Plan rashoda za unos u SAP'!$I$3:$I$501,'Plan rashoda za unos u SAP'!$C$3:$C$501,"=559",'Plan rashoda za unos u SAP'!$M$3:$M$501,"=372")+SUMIFS('ANALITIKA EU PROJEKATA'!$G$3:$G$34,'ANALITIKA EU PROJEKATA'!$A$3:$A$34,"=559",'ANALITIKA EU PROJEKATA'!$P$3:$P$34,"=372")</f>
        <v>0</v>
      </c>
      <c r="N32" s="138">
        <f>SUMIFS('Plan rashoda za unos u SAP'!$I$3:$I$501,'Plan rashoda za unos u SAP'!$C$3:$C$501,"=561",'Plan rashoda za unos u SAP'!$M$3:$M$501,"=372")+SUMIFS('ANALITIKA EU PROJEKATA'!$G$3:$G$34,'ANALITIKA EU PROJEKATA'!$A$3:$A$34,"=561",'ANALITIKA EU PROJEKATA'!$P$3:$P$34,"=372")</f>
        <v>0</v>
      </c>
      <c r="O32" s="138">
        <f>SUMIFS('Plan rashoda za unos u SAP'!$I$3:$I$501,'Plan rashoda za unos u SAP'!$C$3:$C$501,"=563",'Plan rashoda za unos u SAP'!$M$3:$M$501,"=372")+SUMIFS('ANALITIKA EU PROJEKATA'!$G$3:$G$34,'ANALITIKA EU PROJEKATA'!$A$3:$A$34,"=563",'ANALITIKA EU PROJEKATA'!$P$3:$P$34,"=372")</f>
        <v>0</v>
      </c>
      <c r="P32" s="138">
        <f>SUMIFS('Plan rashoda za unos u SAP'!$I$3:$I$501,'Plan rashoda za unos u SAP'!$C$3:$C$501,"=573",'Plan rashoda za unos u SAP'!$M$3:$M$501,"=372")+SUMIFS('ANALITIKA EU PROJEKATA'!$G$3:$G$34,'ANALITIKA EU PROJEKATA'!$A$3:$A$34,"=573",'ANALITIKA EU PROJEKATA'!$P$3:$P$34,"=372")</f>
        <v>0</v>
      </c>
      <c r="Q32" s="138">
        <f>SUMIFS('Plan rashoda za unos u SAP'!$I$3:$I$501,'Plan rashoda za unos u SAP'!$C$3:$C$501,"=575",'Plan rashoda za unos u SAP'!$M$3:$M$501,"=372")+SUMIFS('ANALITIKA EU PROJEKATA'!$G$3:$G$34,'ANALITIKA EU PROJEKATA'!$A$3:$A$34,"=575",'ANALITIKA EU PROJEKATA'!$P$3:$P$34,"=372")</f>
        <v>0</v>
      </c>
      <c r="R32" s="138">
        <f>SUMIFS('Plan rashoda za unos u SAP'!$I$3:$I$501,'Plan rashoda za unos u SAP'!$C$3:$C$501,"=576",'Plan rashoda za unos u SAP'!$M$3:$M$501,"=372")+SUMIFS('ANALITIKA EU PROJEKATA'!$G$3:$G$34,'ANALITIKA EU PROJEKATA'!$A$3:$A$34,"=576",'ANALITIKA EU PROJEKATA'!$P$3:$P$34,"=372")</f>
        <v>0</v>
      </c>
      <c r="S32" s="138">
        <f>SUMIFS('Plan rashoda za unos u SAP'!$I$3:$I$501,'Plan rashoda za unos u SAP'!$C$3:$C$501,"=581",'Plan rashoda za unos u SAP'!$M$3:$M$501,"=372")+SUMIFS('ANALITIKA EU PROJEKATA'!$G$3:$G$34,'ANALITIKA EU PROJEKATA'!$A$3:$A$34,"=581",'ANALITIKA EU PROJEKATA'!$P$3:$P$34,"=372")</f>
        <v>0</v>
      </c>
      <c r="T32" s="138">
        <f>SUMIFS('Plan rashoda za unos u SAP'!$I$3:$I$501,'Plan rashoda za unos u SAP'!$C$3:$C$501,"=61",'Plan rashoda za unos u SAP'!$M$3:$M$501,"=372")+SUMIFS('ANALITIKA EU PROJEKATA'!$G$3:$G$34,'ANALITIKA EU PROJEKATA'!$A$3:$A$34,"=61",'ANALITIKA EU PROJEKATA'!$P$3:$P$34,"=372")</f>
        <v>0</v>
      </c>
      <c r="U32" s="138">
        <f>SUMIFS('Plan rashoda za unos u SAP'!$I$3:$I$501,'Plan rashoda za unos u SAP'!$C$3:$C$501,"=63",'Plan rashoda za unos u SAP'!$M$3:$M$501,"=372")+SUMIFS('ANALITIKA EU PROJEKATA'!$G$3:$G$34,'ANALITIKA EU PROJEKATA'!$A$3:$A$34,"=63",'ANALITIKA EU PROJEKATA'!$P$3:$P$34,"=372")</f>
        <v>0</v>
      </c>
      <c r="V32" s="138">
        <f>SUMIFS('Plan rashoda za unos u SAP'!$I$3:$I$501,'Plan rashoda za unos u SAP'!$C$3:$C$501,"=71",'Plan rashoda za unos u SAP'!$M$3:$M$501,"=372")+SUMIFS('ANALITIKA EU PROJEKATA'!$G$3:$G$34,'ANALITIKA EU PROJEKATA'!$A$3:$A$34,"=71",'ANALITIKA EU PROJEKATA'!$P$3:$P$34,"=372")</f>
        <v>0</v>
      </c>
      <c r="W32" s="138">
        <f>SUMIFS('Plan rashoda za unos u SAP'!$I$3:$I$501,'Plan rashoda za unos u SAP'!$C$3:$C$501,"=81",'Plan rashoda za unos u SAP'!$M$3:$M$501,"=372")+SUMIFS('ANALITIKA EU PROJEKATA'!$G$3:$G$34,'ANALITIKA EU PROJEKATA'!$A$3:$A$34,"=81",'ANALITIKA EU PROJEKATA'!$P$3:$P$34,"=372")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PROJEKATA'!$G$3:$G$34,'ANALITIKA EU PROJEKATA'!$A$3:$A$34,"=11",'ANALITIKA EU PROJEKATA'!$P$3:$P$34,"=381")</f>
        <v>0</v>
      </c>
      <c r="F34" s="138">
        <f>SUMIFS('Plan rashoda za unos u SAP'!$I$3:$I$501,'Plan rashoda za unos u SAP'!$C$3:$C$501,"=12",'Plan rashoda za unos u SAP'!$M$3:$M$501,"=381")+SUMIFS('ANALITIKA EU PROJEKATA'!$G$3:$G$34,'ANALITIKA EU PROJEKATA'!$A$3:$A$34,"=12",'ANALITIKA EU PROJEKATA'!$P$3:$P$34,"=381")</f>
        <v>0</v>
      </c>
      <c r="G34" s="138">
        <f>SUMIFS('Plan rashoda za unos u SAP'!$I$3:$I$501,'Plan rashoda za unos u SAP'!$C$3:$C$501,"=31",'Plan rashoda za unos u SAP'!$M$3:$M$501,"=381")+SUMIFS('ANALITIKA EU PROJEKATA'!$G$3:$G$34,'ANALITIKA EU PROJEKATA'!$A$3:$A$34,"=31",'ANALITIKA EU PROJEKATA'!$P$3:$P$34,"=381")</f>
        <v>0</v>
      </c>
      <c r="H34" s="138">
        <f>SUMIFS('Plan rashoda za unos u SAP'!$I$3:$I$501,'Plan rashoda za unos u SAP'!$C$3:$C$501,"=41",'Plan rashoda za unos u SAP'!$M$3:$M$501,"=381")+SUMIFS('ANALITIKA EU PROJEKATA'!$G$3:$G$34,'ANALITIKA EU PROJEKATA'!$A$3:$A$34,"=41",'ANALITIKA EU PROJEKATA'!$P$3:$P$34,"=381")</f>
        <v>0</v>
      </c>
      <c r="I34" s="138">
        <f>SUMIFS('Plan rashoda za unos u SAP'!$I$3:$I$501,'Plan rashoda za unos u SAP'!$C$3:$C$501,"=43",'Plan rashoda za unos u SAP'!$M$3:$M$501,"=381")+SUMIFS('ANALITIKA EU PROJEKATA'!$G$3:$G$34,'ANALITIKA EU PROJEKATA'!$A$3:$A$34,"=43",'ANALITIKA EU PROJEKATA'!$P$3:$P$34,"=381")</f>
        <v>0</v>
      </c>
      <c r="J34" s="138">
        <f>SUMIFS('Plan rashoda za unos u SAP'!$I$3:$I$501,'Plan rashoda za unos u SAP'!$C$3:$C$501,"=51",'Plan rashoda za unos u SAP'!$M$3:$M$501,"=381")+SUMIFS('ANALITIKA EU PROJEKATA'!$G$3:$G$34,'ANALITIKA EU PROJEKATA'!$A$3:$A$34,"=51",'ANALITIKA EU PROJEKATA'!$P$3:$P$34,"=381")</f>
        <v>0</v>
      </c>
      <c r="K34" s="138">
        <f>SUMIFS('Plan rashoda za unos u SAP'!$I$3:$I$501,'Plan rashoda za unos u SAP'!$C$3:$C$501,"=52",'Plan rashoda za unos u SAP'!$M$3:$M$501,"=381")+SUMIFS('ANALITIKA EU PROJEKATA'!$G$3:$G$34,'ANALITIKA EU PROJEKATA'!$A$3:$A$34,"=52",'ANALITIKA EU PROJEKATA'!$P$3:$P$34,"=381")</f>
        <v>0</v>
      </c>
      <c r="L34" s="138">
        <f>SUMIFS('Plan rashoda za unos u SAP'!$I$3:$I$501,'Plan rashoda za unos u SAP'!$C$3:$C$501,"=552",'Plan rashoda za unos u SAP'!$M$3:$M$501,"=381")+SUMIFS('ANALITIKA EU PROJEKATA'!$G$3:$G$34,'ANALITIKA EU PROJEKATA'!$A$3:$A$34,"=552",'ANALITIKA EU PROJEKATA'!$P$3:$P$34,"=381")</f>
        <v>0</v>
      </c>
      <c r="M34" s="138">
        <f>SUMIFS('Plan rashoda za unos u SAP'!$I$3:$I$501,'Plan rashoda za unos u SAP'!$C$3:$C$501,"=559",'Plan rashoda za unos u SAP'!$M$3:$M$501,"=381")+SUMIFS('ANALITIKA EU PROJEKATA'!$G$3:$G$34,'ANALITIKA EU PROJEKATA'!$A$3:$A$34,"=559",'ANALITIKA EU PROJEKATA'!$P$3:$P$34,"=381")</f>
        <v>0</v>
      </c>
      <c r="N34" s="138">
        <f>SUMIFS('Plan rashoda za unos u SAP'!$I$3:$I$501,'Plan rashoda za unos u SAP'!$C$3:$C$501,"=561",'Plan rashoda za unos u SAP'!$M$3:$M$501,"=381")+SUMIFS('ANALITIKA EU PROJEKATA'!$G$3:$G$34,'ANALITIKA EU PROJEKATA'!$A$3:$A$34,"=561",'ANALITIKA EU PROJEKATA'!$P$3:$P$34,"=381")</f>
        <v>0</v>
      </c>
      <c r="O34" s="138">
        <f>SUMIFS('Plan rashoda za unos u SAP'!$I$3:$I$501,'Plan rashoda za unos u SAP'!$C$3:$C$501,"=563",'Plan rashoda za unos u SAP'!$M$3:$M$501,"=381")+SUMIFS('ANALITIKA EU PROJEKATA'!$G$3:$G$34,'ANALITIKA EU PROJEKATA'!$A$3:$A$34,"=563",'ANALITIKA EU PROJEKATA'!$P$3:$P$34,"=381")</f>
        <v>0</v>
      </c>
      <c r="P34" s="138">
        <f>SUMIFS('Plan rashoda za unos u SAP'!$I$3:$I$501,'Plan rashoda za unos u SAP'!$C$3:$C$501,"=573",'Plan rashoda za unos u SAP'!$M$3:$M$501,"=381")+SUMIFS('ANALITIKA EU PROJEKATA'!$G$3:$G$34,'ANALITIKA EU PROJEKATA'!$A$3:$A$34,"=573",'ANALITIKA EU PROJEKATA'!$P$3:$P$34,"=381")</f>
        <v>0</v>
      </c>
      <c r="Q34" s="138">
        <f>SUMIFS('Plan rashoda za unos u SAP'!$I$3:$I$501,'Plan rashoda za unos u SAP'!$C$3:$C$501,"=575",'Plan rashoda za unos u SAP'!$M$3:$M$501,"=381")+SUMIFS('ANALITIKA EU PROJEKATA'!$G$3:$G$34,'ANALITIKA EU PROJEKATA'!$A$3:$A$34,"=575",'ANALITIKA EU PROJEKATA'!$P$3:$P$34,"=381")</f>
        <v>0</v>
      </c>
      <c r="R34" s="138">
        <f>SUMIFS('Plan rashoda za unos u SAP'!$I$3:$I$501,'Plan rashoda za unos u SAP'!$C$3:$C$501,"=576",'Plan rashoda za unos u SAP'!$M$3:$M$501,"=381")+SUMIFS('ANALITIKA EU PROJEKATA'!$G$3:$G$34,'ANALITIKA EU PROJEKATA'!$A$3:$A$34,"=576",'ANALITIKA EU PROJEKATA'!$P$3:$P$34,"=381")</f>
        <v>0</v>
      </c>
      <c r="S34" s="138">
        <f>SUMIFS('Plan rashoda za unos u SAP'!$I$3:$I$501,'Plan rashoda za unos u SAP'!$C$3:$C$501,"=581",'Plan rashoda za unos u SAP'!$M$3:$M$501,"=381")+SUMIFS('ANALITIKA EU PROJEKATA'!$G$3:$G$34,'ANALITIKA EU PROJEKATA'!$A$3:$A$34,"=581",'ANALITIKA EU PROJEKATA'!$P$3:$P$34,"=381")</f>
        <v>0</v>
      </c>
      <c r="T34" s="138">
        <f>SUMIFS('Plan rashoda za unos u SAP'!$I$3:$I$501,'Plan rashoda za unos u SAP'!$C$3:$C$501,"=61",'Plan rashoda za unos u SAP'!$M$3:$M$501,"=381")+SUMIFS('ANALITIKA EU PROJEKATA'!$G$3:$G$34,'ANALITIKA EU PROJEKATA'!$A$3:$A$34,"=61",'ANALITIKA EU PROJEKATA'!$P$3:$P$34,"=381")</f>
        <v>0</v>
      </c>
      <c r="U34" s="138">
        <f>SUMIFS('Plan rashoda za unos u SAP'!$I$3:$I$501,'Plan rashoda za unos u SAP'!$C$3:$C$501,"=63",'Plan rashoda za unos u SAP'!$M$3:$M$501,"=381")+SUMIFS('ANALITIKA EU PROJEKATA'!$G$3:$G$34,'ANALITIKA EU PROJEKATA'!$A$3:$A$34,"=63",'ANALITIKA EU PROJEKATA'!$P$3:$P$34,"=381")</f>
        <v>0</v>
      </c>
      <c r="V34" s="138">
        <f>SUMIFS('Plan rashoda za unos u SAP'!$I$3:$I$501,'Plan rashoda za unos u SAP'!$C$3:$C$501,"=71",'Plan rashoda za unos u SAP'!$M$3:$M$501,"=381")+SUMIFS('ANALITIKA EU PROJEKATA'!$G$3:$G$34,'ANALITIKA EU PROJEKATA'!$A$3:$A$34,"=71",'ANALITIKA EU PROJEKATA'!$P$3:$P$34,"=381")</f>
        <v>0</v>
      </c>
      <c r="W34" s="138">
        <f>SUMIFS('Plan rashoda za unos u SAP'!$I$3:$I$501,'Plan rashoda za unos u SAP'!$C$3:$C$501,"=81",'Plan rashoda za unos u SAP'!$M$3:$M$501,"=381")+SUMIFS('ANALITIKA EU PROJEKATA'!$G$3:$G$34,'ANALITIKA EU PROJEKATA'!$A$3:$A$34,"=81",'ANALITIKA EU PROJEKATA'!$P$3:$P$34,"=381")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PROJEKATA'!$G$3:$G$34,'ANALITIKA EU PROJEKATA'!$A$3:$A$34,"=11",'ANALITIKA EU PROJEKATA'!$P$3:$P$34,"=382")</f>
        <v>0</v>
      </c>
      <c r="F35" s="138">
        <f>SUMIFS('Plan rashoda za unos u SAP'!$I$3:$I$501,'Plan rashoda za unos u SAP'!$C$3:$C$501,"=12",'Plan rashoda za unos u SAP'!$M$3:$M$501,"=382")+SUMIFS('ANALITIKA EU PROJEKATA'!$G$3:$G$34,'ANALITIKA EU PROJEKATA'!$A$3:$A$34,"=12",'ANALITIKA EU PROJEKATA'!$P$3:$P$34,"=382")</f>
        <v>0</v>
      </c>
      <c r="G35" s="138">
        <f>SUMIFS('Plan rashoda za unos u SAP'!$I$3:$I$501,'Plan rashoda za unos u SAP'!$C$3:$C$501,"=31",'Plan rashoda za unos u SAP'!$M$3:$M$501,"=382")+SUMIFS('ANALITIKA EU PROJEKATA'!$G$3:$G$34,'ANALITIKA EU PROJEKATA'!$A$3:$A$34,"=31",'ANALITIKA EU PROJEKATA'!$P$3:$P$34,"=382")</f>
        <v>0</v>
      </c>
      <c r="H35" s="138">
        <f>SUMIFS('Plan rashoda za unos u SAP'!$I$3:$I$501,'Plan rashoda za unos u SAP'!$C$3:$C$501,"=41",'Plan rashoda za unos u SAP'!$M$3:$M$501,"=382")+SUMIFS('ANALITIKA EU PROJEKATA'!$G$3:$G$34,'ANALITIKA EU PROJEKATA'!$A$3:$A$34,"=41",'ANALITIKA EU PROJEKATA'!$P$3:$P$34,"=382")</f>
        <v>0</v>
      </c>
      <c r="I35" s="138">
        <f>SUMIFS('Plan rashoda za unos u SAP'!$I$3:$I$501,'Plan rashoda za unos u SAP'!$C$3:$C$501,"=43",'Plan rashoda za unos u SAP'!$M$3:$M$501,"=382")+SUMIFS('ANALITIKA EU PROJEKATA'!$G$3:$G$34,'ANALITIKA EU PROJEKATA'!$A$3:$A$34,"=43",'ANALITIKA EU PROJEKATA'!$P$3:$P$34,"=382")</f>
        <v>0</v>
      </c>
      <c r="J35" s="138">
        <f>SUMIFS('Plan rashoda za unos u SAP'!$I$3:$I$501,'Plan rashoda za unos u SAP'!$C$3:$C$501,"=51",'Plan rashoda za unos u SAP'!$M$3:$M$501,"=382")+SUMIFS('ANALITIKA EU PROJEKATA'!$G$3:$G$34,'ANALITIKA EU PROJEKATA'!$A$3:$A$34,"=51",'ANALITIKA EU PROJEKATA'!$P$3:$P$34,"=382")</f>
        <v>0</v>
      </c>
      <c r="K35" s="138">
        <f>SUMIFS('Plan rashoda za unos u SAP'!$I$3:$I$501,'Plan rashoda za unos u SAP'!$C$3:$C$501,"=52",'Plan rashoda za unos u SAP'!$M$3:$M$501,"=382")+SUMIFS('ANALITIKA EU PROJEKATA'!$G$3:$G$34,'ANALITIKA EU PROJEKATA'!$A$3:$A$34,"=52",'ANALITIKA EU PROJEKATA'!$P$3:$P$34,"=382")</f>
        <v>0</v>
      </c>
      <c r="L35" s="138">
        <f>SUMIFS('Plan rashoda za unos u SAP'!$I$3:$I$501,'Plan rashoda za unos u SAP'!$C$3:$C$501,"=552",'Plan rashoda za unos u SAP'!$M$3:$M$501,"=382")+SUMIFS('ANALITIKA EU PROJEKATA'!$G$3:$G$34,'ANALITIKA EU PROJEKATA'!$A$3:$A$34,"=552",'ANALITIKA EU PROJEKATA'!$P$3:$P$34,"=382")</f>
        <v>0</v>
      </c>
      <c r="M35" s="138">
        <f>SUMIFS('Plan rashoda za unos u SAP'!$I$3:$I$501,'Plan rashoda za unos u SAP'!$C$3:$C$501,"=559",'Plan rashoda za unos u SAP'!$M$3:$M$501,"=382")+SUMIFS('ANALITIKA EU PROJEKATA'!$G$3:$G$34,'ANALITIKA EU PROJEKATA'!$A$3:$A$34,"=559",'ANALITIKA EU PROJEKATA'!$P$3:$P$34,"=382")</f>
        <v>0</v>
      </c>
      <c r="N35" s="138">
        <f>SUMIFS('Plan rashoda za unos u SAP'!$I$3:$I$501,'Plan rashoda za unos u SAP'!$C$3:$C$501,"=561",'Plan rashoda za unos u SAP'!$M$3:$M$501,"=382")+SUMIFS('ANALITIKA EU PROJEKATA'!$G$3:$G$34,'ANALITIKA EU PROJEKATA'!$A$3:$A$34,"=561",'ANALITIKA EU PROJEKATA'!$P$3:$P$34,"=382")</f>
        <v>0</v>
      </c>
      <c r="O35" s="138">
        <f>SUMIFS('Plan rashoda za unos u SAP'!$I$3:$I$501,'Plan rashoda za unos u SAP'!$C$3:$C$501,"=563",'Plan rashoda za unos u SAP'!$M$3:$M$501,"=382")+SUMIFS('ANALITIKA EU PROJEKATA'!$G$3:$G$34,'ANALITIKA EU PROJEKATA'!$A$3:$A$34,"=563",'ANALITIKA EU PROJEKATA'!$P$3:$P$34,"=382")</f>
        <v>0</v>
      </c>
      <c r="P35" s="138">
        <f>SUMIFS('Plan rashoda za unos u SAP'!$I$3:$I$501,'Plan rashoda za unos u SAP'!$C$3:$C$501,"=573",'Plan rashoda za unos u SAP'!$M$3:$M$501,"=382")+SUMIFS('ANALITIKA EU PROJEKATA'!$G$3:$G$34,'ANALITIKA EU PROJEKATA'!$A$3:$A$34,"=573",'ANALITIKA EU PROJEKATA'!$P$3:$P$34,"=382")</f>
        <v>0</v>
      </c>
      <c r="Q35" s="138">
        <f>SUMIFS('Plan rashoda za unos u SAP'!$I$3:$I$501,'Plan rashoda za unos u SAP'!$C$3:$C$501,"=575",'Plan rashoda za unos u SAP'!$M$3:$M$501,"=382")+SUMIFS('ANALITIKA EU PROJEKATA'!$G$3:$G$34,'ANALITIKA EU PROJEKATA'!$A$3:$A$34,"=575",'ANALITIKA EU PROJEKATA'!$P$3:$P$34,"=382")</f>
        <v>0</v>
      </c>
      <c r="R35" s="138">
        <f>SUMIFS('Plan rashoda za unos u SAP'!$I$3:$I$501,'Plan rashoda za unos u SAP'!$C$3:$C$501,"=576",'Plan rashoda za unos u SAP'!$M$3:$M$501,"=382")+SUMIFS('ANALITIKA EU PROJEKATA'!$G$3:$G$34,'ANALITIKA EU PROJEKATA'!$A$3:$A$34,"=576",'ANALITIKA EU PROJEKATA'!$P$3:$P$34,"=382")</f>
        <v>0</v>
      </c>
      <c r="S35" s="138">
        <f>SUMIFS('Plan rashoda za unos u SAP'!$I$3:$I$501,'Plan rashoda za unos u SAP'!$C$3:$C$501,"=581",'Plan rashoda za unos u SAP'!$M$3:$M$501,"=382")+SUMIFS('ANALITIKA EU PROJEKATA'!$G$3:$G$34,'ANALITIKA EU PROJEKATA'!$A$3:$A$34,"=581",'ANALITIKA EU PROJEKATA'!$P$3:$P$34,"=382")</f>
        <v>0</v>
      </c>
      <c r="T35" s="138">
        <f>SUMIFS('Plan rashoda za unos u SAP'!$I$3:$I$501,'Plan rashoda za unos u SAP'!$C$3:$C$501,"=61",'Plan rashoda za unos u SAP'!$M$3:$M$501,"=382")+SUMIFS('ANALITIKA EU PROJEKATA'!$G$3:$G$34,'ANALITIKA EU PROJEKATA'!$A$3:$A$34,"=61",'ANALITIKA EU PROJEKATA'!$P$3:$P$34,"=382")</f>
        <v>0</v>
      </c>
      <c r="U35" s="138">
        <f>SUMIFS('Plan rashoda za unos u SAP'!$I$3:$I$501,'Plan rashoda za unos u SAP'!$C$3:$C$501,"=63",'Plan rashoda za unos u SAP'!$M$3:$M$501,"=382")+SUMIFS('ANALITIKA EU PROJEKATA'!$G$3:$G$34,'ANALITIKA EU PROJEKATA'!$A$3:$A$34,"=63",'ANALITIKA EU PROJEKATA'!$P$3:$P$34,"=382")</f>
        <v>0</v>
      </c>
      <c r="V35" s="138">
        <f>SUMIFS('Plan rashoda za unos u SAP'!$I$3:$I$501,'Plan rashoda za unos u SAP'!$C$3:$C$501,"=71",'Plan rashoda za unos u SAP'!$M$3:$M$501,"=382")+SUMIFS('ANALITIKA EU PROJEKATA'!$G$3:$G$34,'ANALITIKA EU PROJEKATA'!$A$3:$A$34,"=71",'ANALITIKA EU PROJEKATA'!$P$3:$P$34,"=382")</f>
        <v>0</v>
      </c>
      <c r="W35" s="138">
        <f>SUMIFS('Plan rashoda za unos u SAP'!$I$3:$I$501,'Plan rashoda za unos u SAP'!$C$3:$C$501,"=81",'Plan rashoda za unos u SAP'!$M$3:$M$501,"=382")+SUMIFS('ANALITIKA EU PROJEKATA'!$G$3:$G$34,'ANALITIKA EU PROJEKATA'!$A$3:$A$34,"=81",'ANALITIKA EU PROJEKATA'!$P$3:$P$34,"=382")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PROJEKATA'!$G$3:$G$34,'ANALITIKA EU PROJEKATA'!$A$3:$A$34,"=11",'ANALITIKA EU PROJEKATA'!$P$3:$P$34,"=383")</f>
        <v>0</v>
      </c>
      <c r="F36" s="138">
        <f>SUMIFS('Plan rashoda za unos u SAP'!$I$3:$I$501,'Plan rashoda za unos u SAP'!$C$3:$C$501,"=12",'Plan rashoda za unos u SAP'!$M$3:$M$501,"=383")+SUMIFS('ANALITIKA EU PROJEKATA'!$G$3:$G$34,'ANALITIKA EU PROJEKATA'!$A$3:$A$34,"=12",'ANALITIKA EU PROJEKATA'!$P$3:$P$34,"=383")</f>
        <v>0</v>
      </c>
      <c r="G36" s="138">
        <f>SUMIFS('Plan rashoda za unos u SAP'!$I$3:$I$501,'Plan rashoda za unos u SAP'!$C$3:$C$501,"=31",'Plan rashoda za unos u SAP'!$M$3:$M$501,"=383")+SUMIFS('ANALITIKA EU PROJEKATA'!$G$3:$G$34,'ANALITIKA EU PROJEKATA'!$A$3:$A$34,"=31",'ANALITIKA EU PROJEKATA'!$P$3:$P$34,"=383")</f>
        <v>0</v>
      </c>
      <c r="H36" s="138">
        <f>SUMIFS('Plan rashoda za unos u SAP'!$I$3:$I$501,'Plan rashoda za unos u SAP'!$C$3:$C$501,"=41",'Plan rashoda za unos u SAP'!$M$3:$M$501,"=383")+SUMIFS('ANALITIKA EU PROJEKATA'!$G$3:$G$34,'ANALITIKA EU PROJEKATA'!$A$3:$A$34,"=41",'ANALITIKA EU PROJEKATA'!$P$3:$P$34,"=383")</f>
        <v>0</v>
      </c>
      <c r="I36" s="138">
        <f>SUMIFS('Plan rashoda za unos u SAP'!$I$3:$I$501,'Plan rashoda za unos u SAP'!$C$3:$C$501,"=43",'Plan rashoda za unos u SAP'!$M$3:$M$501,"=383")+SUMIFS('ANALITIKA EU PROJEKATA'!$G$3:$G$34,'ANALITIKA EU PROJEKATA'!$A$3:$A$34,"=43",'ANALITIKA EU PROJEKATA'!$P$3:$P$34,"=383")</f>
        <v>0</v>
      </c>
      <c r="J36" s="138">
        <f>SUMIFS('Plan rashoda za unos u SAP'!$I$3:$I$501,'Plan rashoda za unos u SAP'!$C$3:$C$501,"=51",'Plan rashoda za unos u SAP'!$M$3:$M$501,"=383")+SUMIFS('ANALITIKA EU PROJEKATA'!$G$3:$G$34,'ANALITIKA EU PROJEKATA'!$A$3:$A$34,"=51",'ANALITIKA EU PROJEKATA'!$P$3:$P$34,"=383")</f>
        <v>0</v>
      </c>
      <c r="K36" s="138">
        <f>SUMIFS('Plan rashoda za unos u SAP'!$I$3:$I$501,'Plan rashoda za unos u SAP'!$C$3:$C$501,"=52",'Plan rashoda za unos u SAP'!$M$3:$M$501,"=383")+SUMIFS('ANALITIKA EU PROJEKATA'!$G$3:$G$34,'ANALITIKA EU PROJEKATA'!$A$3:$A$34,"=52",'ANALITIKA EU PROJEKATA'!$P$3:$P$34,"=383")</f>
        <v>0</v>
      </c>
      <c r="L36" s="138">
        <f>SUMIFS('Plan rashoda za unos u SAP'!$I$3:$I$501,'Plan rashoda za unos u SAP'!$C$3:$C$501,"=552",'Plan rashoda za unos u SAP'!$M$3:$M$501,"=383")+SUMIFS('ANALITIKA EU PROJEKATA'!$G$3:$G$34,'ANALITIKA EU PROJEKATA'!$A$3:$A$34,"=552",'ANALITIKA EU PROJEKATA'!$P$3:$P$34,"=383")</f>
        <v>0</v>
      </c>
      <c r="M36" s="138">
        <f>SUMIFS('Plan rashoda za unos u SAP'!$I$3:$I$501,'Plan rashoda za unos u SAP'!$C$3:$C$501,"=559",'Plan rashoda za unos u SAP'!$M$3:$M$501,"=383")+SUMIFS('ANALITIKA EU PROJEKATA'!$G$3:$G$34,'ANALITIKA EU PROJEKATA'!$A$3:$A$34,"=559",'ANALITIKA EU PROJEKATA'!$P$3:$P$34,"=383")</f>
        <v>0</v>
      </c>
      <c r="N36" s="138">
        <f>SUMIFS('Plan rashoda za unos u SAP'!$I$3:$I$501,'Plan rashoda za unos u SAP'!$C$3:$C$501,"=561",'Plan rashoda za unos u SAP'!$M$3:$M$501,"=383")+SUMIFS('ANALITIKA EU PROJEKATA'!$G$3:$G$34,'ANALITIKA EU PROJEKATA'!$A$3:$A$34,"=561",'ANALITIKA EU PROJEKATA'!$P$3:$P$34,"=383")</f>
        <v>0</v>
      </c>
      <c r="O36" s="138">
        <f>SUMIFS('Plan rashoda za unos u SAP'!$I$3:$I$501,'Plan rashoda za unos u SAP'!$C$3:$C$501,"=563",'Plan rashoda za unos u SAP'!$M$3:$M$501,"=383")+SUMIFS('ANALITIKA EU PROJEKATA'!$G$3:$G$34,'ANALITIKA EU PROJEKATA'!$A$3:$A$34,"=563",'ANALITIKA EU PROJEKATA'!$P$3:$P$34,"=383")</f>
        <v>0</v>
      </c>
      <c r="P36" s="138">
        <f>SUMIFS('Plan rashoda za unos u SAP'!$I$3:$I$501,'Plan rashoda za unos u SAP'!$C$3:$C$501,"=573",'Plan rashoda za unos u SAP'!$M$3:$M$501,"=383")+SUMIFS('ANALITIKA EU PROJEKATA'!$G$3:$G$34,'ANALITIKA EU PROJEKATA'!$A$3:$A$34,"=573",'ANALITIKA EU PROJEKATA'!$P$3:$P$34,"=383")</f>
        <v>0</v>
      </c>
      <c r="Q36" s="138">
        <f>SUMIFS('Plan rashoda za unos u SAP'!$I$3:$I$501,'Plan rashoda za unos u SAP'!$C$3:$C$501,"=575",'Plan rashoda za unos u SAP'!$M$3:$M$501,"=383")+SUMIFS('ANALITIKA EU PROJEKATA'!$G$3:$G$34,'ANALITIKA EU PROJEKATA'!$A$3:$A$34,"=575",'ANALITIKA EU PROJEKATA'!$P$3:$P$34,"=383")</f>
        <v>0</v>
      </c>
      <c r="R36" s="138">
        <f>SUMIFS('Plan rashoda za unos u SAP'!$I$3:$I$501,'Plan rashoda za unos u SAP'!$C$3:$C$501,"=576",'Plan rashoda za unos u SAP'!$M$3:$M$501,"=383")+SUMIFS('ANALITIKA EU PROJEKATA'!$G$3:$G$34,'ANALITIKA EU PROJEKATA'!$A$3:$A$34,"=576",'ANALITIKA EU PROJEKATA'!$P$3:$P$34,"=383")</f>
        <v>0</v>
      </c>
      <c r="S36" s="138">
        <f>SUMIFS('Plan rashoda za unos u SAP'!$I$3:$I$501,'Plan rashoda za unos u SAP'!$C$3:$C$501,"=581",'Plan rashoda za unos u SAP'!$M$3:$M$501,"=383")+SUMIFS('ANALITIKA EU PROJEKATA'!$G$3:$G$34,'ANALITIKA EU PROJEKATA'!$A$3:$A$34,"=581",'ANALITIKA EU PROJEKATA'!$P$3:$P$34,"=383")</f>
        <v>0</v>
      </c>
      <c r="T36" s="138">
        <f>SUMIFS('Plan rashoda za unos u SAP'!$I$3:$I$501,'Plan rashoda za unos u SAP'!$C$3:$C$501,"=61",'Plan rashoda za unos u SAP'!$M$3:$M$501,"=383")+SUMIFS('ANALITIKA EU PROJEKATA'!$G$3:$G$34,'ANALITIKA EU PROJEKATA'!$A$3:$A$34,"=61",'ANALITIKA EU PROJEKATA'!$P$3:$P$34,"=383")</f>
        <v>0</v>
      </c>
      <c r="U36" s="138">
        <f>SUMIFS('Plan rashoda za unos u SAP'!$I$3:$I$501,'Plan rashoda za unos u SAP'!$C$3:$C$501,"=63",'Plan rashoda za unos u SAP'!$M$3:$M$501,"=383")+SUMIFS('ANALITIKA EU PROJEKATA'!$G$3:$G$34,'ANALITIKA EU PROJEKATA'!$A$3:$A$34,"=63",'ANALITIKA EU PROJEKATA'!$P$3:$P$34,"=383")</f>
        <v>0</v>
      </c>
      <c r="V36" s="138">
        <f>SUMIFS('Plan rashoda za unos u SAP'!$I$3:$I$501,'Plan rashoda za unos u SAP'!$C$3:$C$501,"=71",'Plan rashoda za unos u SAP'!$M$3:$M$501,"=383")+SUMIFS('ANALITIKA EU PROJEKATA'!$G$3:$G$34,'ANALITIKA EU PROJEKATA'!$A$3:$A$34,"=71",'ANALITIKA EU PROJEKATA'!$P$3:$P$34,"=383")</f>
        <v>0</v>
      </c>
      <c r="W36" s="138">
        <f>SUMIFS('Plan rashoda za unos u SAP'!$I$3:$I$501,'Plan rashoda za unos u SAP'!$C$3:$C$501,"=81",'Plan rashoda za unos u SAP'!$M$3:$M$501,"=383")+SUMIFS('ANALITIKA EU PROJEKATA'!$G$3:$G$34,'ANALITIKA EU PROJEKATA'!$A$3:$A$34,"=81",'ANALITIKA EU PROJEKATA'!$P$3:$P$34,"=383")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PROJEKATA'!$G$3:$G$34,'ANALITIKA EU PROJEKATA'!$A$3:$A$34,"=11",'ANALITIKA EU PROJEKATA'!$P$3:$P$34,"=386")</f>
        <v>0</v>
      </c>
      <c r="F37" s="138">
        <f>SUMIFS('Plan rashoda za unos u SAP'!$I$3:$I$501,'Plan rashoda za unos u SAP'!$C$3:$C$501,"=12",'Plan rashoda za unos u SAP'!$M$3:$M$501,"=386")+SUMIFS('ANALITIKA EU PROJEKATA'!$G$3:$G$34,'ANALITIKA EU PROJEKATA'!$A$3:$A$34,"=12",'ANALITIKA EU PROJEKATA'!$P$3:$P$34,"=386")</f>
        <v>0</v>
      </c>
      <c r="G37" s="138">
        <f>SUMIFS('Plan rashoda za unos u SAP'!$I$3:$I$501,'Plan rashoda za unos u SAP'!$C$3:$C$501,"=31",'Plan rashoda za unos u SAP'!$M$3:$M$501,"=386")+SUMIFS('ANALITIKA EU PROJEKATA'!$G$3:$G$34,'ANALITIKA EU PROJEKATA'!$A$3:$A$34,"=31",'ANALITIKA EU PROJEKATA'!$P$3:$P$34,"=386")</f>
        <v>0</v>
      </c>
      <c r="H37" s="138">
        <f>SUMIFS('Plan rashoda za unos u SAP'!$I$3:$I$501,'Plan rashoda za unos u SAP'!$C$3:$C$501,"=41",'Plan rashoda za unos u SAP'!$M$3:$M$501,"=386")+SUMIFS('ANALITIKA EU PROJEKATA'!$G$3:$G$34,'ANALITIKA EU PROJEKATA'!$A$3:$A$34,"=41",'ANALITIKA EU PROJEKATA'!$P$3:$P$34,"=386")</f>
        <v>0</v>
      </c>
      <c r="I37" s="138">
        <f>SUMIFS('Plan rashoda za unos u SAP'!$I$3:$I$501,'Plan rashoda za unos u SAP'!$C$3:$C$501,"=43",'Plan rashoda za unos u SAP'!$M$3:$M$501,"=386")+SUMIFS('ANALITIKA EU PROJEKATA'!$G$3:$G$34,'ANALITIKA EU PROJEKATA'!$A$3:$A$34,"=43",'ANALITIKA EU PROJEKATA'!$P$3:$P$34,"=386")</f>
        <v>0</v>
      </c>
      <c r="J37" s="138">
        <f>SUMIFS('Plan rashoda za unos u SAP'!$I$3:$I$501,'Plan rashoda za unos u SAP'!$C$3:$C$501,"=51",'Plan rashoda za unos u SAP'!$M$3:$M$501,"=386")+SUMIFS('ANALITIKA EU PROJEKATA'!$G$3:$G$34,'ANALITIKA EU PROJEKATA'!$A$3:$A$34,"=51",'ANALITIKA EU PROJEKATA'!$P$3:$P$34,"=386")</f>
        <v>0</v>
      </c>
      <c r="K37" s="138">
        <f>SUMIFS('Plan rashoda za unos u SAP'!$I$3:$I$501,'Plan rashoda za unos u SAP'!$C$3:$C$501,"=52",'Plan rashoda za unos u SAP'!$M$3:$M$501,"=386")+SUMIFS('ANALITIKA EU PROJEKATA'!$G$3:$G$34,'ANALITIKA EU PROJEKATA'!$A$3:$A$34,"=52",'ANALITIKA EU PROJEKATA'!$P$3:$P$34,"=386")</f>
        <v>0</v>
      </c>
      <c r="L37" s="138">
        <f>SUMIFS('Plan rashoda za unos u SAP'!$I$3:$I$501,'Plan rashoda za unos u SAP'!$C$3:$C$501,"=552",'Plan rashoda za unos u SAP'!$M$3:$M$501,"=386")+SUMIFS('ANALITIKA EU PROJEKATA'!$G$3:$G$34,'ANALITIKA EU PROJEKATA'!$A$3:$A$34,"=552",'ANALITIKA EU PROJEKATA'!$P$3:$P$34,"=386")</f>
        <v>0</v>
      </c>
      <c r="M37" s="138">
        <f>SUMIFS('Plan rashoda za unos u SAP'!$I$3:$I$501,'Plan rashoda za unos u SAP'!$C$3:$C$501,"=559",'Plan rashoda za unos u SAP'!$M$3:$M$501,"=386")+SUMIFS('ANALITIKA EU PROJEKATA'!$G$3:$G$34,'ANALITIKA EU PROJEKATA'!$A$3:$A$34,"=559",'ANALITIKA EU PROJEKATA'!$P$3:$P$34,"=386")</f>
        <v>0</v>
      </c>
      <c r="N37" s="138">
        <f>SUMIFS('Plan rashoda za unos u SAP'!$I$3:$I$501,'Plan rashoda za unos u SAP'!$C$3:$C$501,"=561",'Plan rashoda za unos u SAP'!$M$3:$M$501,"=386")+SUMIFS('ANALITIKA EU PROJEKATA'!$G$3:$G$34,'ANALITIKA EU PROJEKATA'!$A$3:$A$34,"=561",'ANALITIKA EU PROJEKATA'!$P$3:$P$34,"=386")</f>
        <v>0</v>
      </c>
      <c r="O37" s="138">
        <f>SUMIFS('Plan rashoda za unos u SAP'!$I$3:$I$501,'Plan rashoda za unos u SAP'!$C$3:$C$501,"=563",'Plan rashoda za unos u SAP'!$M$3:$M$501,"=386")+SUMIFS('ANALITIKA EU PROJEKATA'!$G$3:$G$34,'ANALITIKA EU PROJEKATA'!$A$3:$A$34,"=563",'ANALITIKA EU PROJEKATA'!$P$3:$P$34,"=386")</f>
        <v>0</v>
      </c>
      <c r="P37" s="138">
        <f>SUMIFS('Plan rashoda za unos u SAP'!$I$3:$I$501,'Plan rashoda za unos u SAP'!$C$3:$C$501,"=573",'Plan rashoda za unos u SAP'!$M$3:$M$501,"=386")+SUMIFS('ANALITIKA EU PROJEKATA'!$G$3:$G$34,'ANALITIKA EU PROJEKATA'!$A$3:$A$34,"=573",'ANALITIKA EU PROJEKATA'!$P$3:$P$34,"=386")</f>
        <v>0</v>
      </c>
      <c r="Q37" s="138">
        <f>SUMIFS('Plan rashoda za unos u SAP'!$I$3:$I$501,'Plan rashoda za unos u SAP'!$C$3:$C$501,"=575",'Plan rashoda za unos u SAP'!$M$3:$M$501,"=386")+SUMIFS('ANALITIKA EU PROJEKATA'!$G$3:$G$34,'ANALITIKA EU PROJEKATA'!$A$3:$A$34,"=575",'ANALITIKA EU PROJEKATA'!$P$3:$P$34,"=386")</f>
        <v>0</v>
      </c>
      <c r="R37" s="138">
        <f>SUMIFS('Plan rashoda za unos u SAP'!$I$3:$I$501,'Plan rashoda za unos u SAP'!$C$3:$C$501,"=576",'Plan rashoda za unos u SAP'!$M$3:$M$501,"=386")+SUMIFS('ANALITIKA EU PROJEKATA'!$G$3:$G$34,'ANALITIKA EU PROJEKATA'!$A$3:$A$34,"=576",'ANALITIKA EU PROJEKATA'!$P$3:$P$34,"=386")</f>
        <v>0</v>
      </c>
      <c r="S37" s="138">
        <f>SUMIFS('Plan rashoda za unos u SAP'!$I$3:$I$501,'Plan rashoda za unos u SAP'!$C$3:$C$501,"=581",'Plan rashoda za unos u SAP'!$M$3:$M$501,"=386")+SUMIFS('ANALITIKA EU PROJEKATA'!$G$3:$G$34,'ANALITIKA EU PROJEKATA'!$A$3:$A$34,"=581",'ANALITIKA EU PROJEKATA'!$P$3:$P$34,"=386")</f>
        <v>0</v>
      </c>
      <c r="T37" s="138">
        <f>SUMIFS('Plan rashoda za unos u SAP'!$I$3:$I$501,'Plan rashoda za unos u SAP'!$C$3:$C$501,"=61",'Plan rashoda za unos u SAP'!$M$3:$M$501,"=386")+SUMIFS('ANALITIKA EU PROJEKATA'!$G$3:$G$34,'ANALITIKA EU PROJEKATA'!$A$3:$A$34,"=61",'ANALITIKA EU PROJEKATA'!$P$3:$P$34,"=386")</f>
        <v>0</v>
      </c>
      <c r="U37" s="138">
        <f>SUMIFS('Plan rashoda za unos u SAP'!$I$3:$I$501,'Plan rashoda za unos u SAP'!$C$3:$C$501,"=63",'Plan rashoda za unos u SAP'!$M$3:$M$501,"=386")+SUMIFS('ANALITIKA EU PROJEKATA'!$G$3:$G$34,'ANALITIKA EU PROJEKATA'!$A$3:$A$34,"=63",'ANALITIKA EU PROJEKATA'!$P$3:$P$34,"=386")</f>
        <v>0</v>
      </c>
      <c r="V37" s="138">
        <f>SUMIFS('Plan rashoda za unos u SAP'!$I$3:$I$501,'Plan rashoda za unos u SAP'!$C$3:$C$501,"=71",'Plan rashoda za unos u SAP'!$M$3:$M$501,"=386")+SUMIFS('ANALITIKA EU PROJEKATA'!$G$3:$G$34,'ANALITIKA EU PROJEKATA'!$A$3:$A$34,"=71",'ANALITIKA EU PROJEKATA'!$P$3:$P$34,"=386")</f>
        <v>0</v>
      </c>
      <c r="W37" s="138">
        <f>SUMIFS('Plan rashoda za unos u SAP'!$I$3:$I$501,'Plan rashoda za unos u SAP'!$C$3:$C$501,"=81",'Plan rashoda za unos u SAP'!$M$3:$M$501,"=386")+SUMIFS('ANALITIKA EU PROJEKATA'!$G$3:$G$34,'ANALITIKA EU PROJEKATA'!$A$3:$A$34,"=81",'ANALITIKA EU PROJEKATA'!$P$3:$P$34,"=386")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545000</v>
      </c>
      <c r="E38" s="126">
        <f>E42+E49+E51+E53+E39</f>
        <v>0</v>
      </c>
      <c r="F38" s="126">
        <f t="shared" ref="F38:W38" si="11">F42+F49+F51+F53+F39</f>
        <v>0</v>
      </c>
      <c r="G38" s="126">
        <f t="shared" si="11"/>
        <v>30000</v>
      </c>
      <c r="H38" s="126">
        <f>H42+H49+H51+H53+H39</f>
        <v>0</v>
      </c>
      <c r="I38" s="126">
        <f t="shared" si="11"/>
        <v>450000</v>
      </c>
      <c r="J38" s="126">
        <f t="shared" si="11"/>
        <v>0</v>
      </c>
      <c r="K38" s="126">
        <f t="shared" si="11"/>
        <v>65000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PROJEKATA'!$G$3:$G$34,'ANALITIKA EU PROJEKATA'!$A$3:$A$34,"=11",'ANALITIKA EU PROJEKATA'!$P$3:$P$34,"=411")</f>
        <v>0</v>
      </c>
      <c r="F40" s="138">
        <f>SUMIFS('Plan rashoda za unos u SAP'!$I$3:$I$501,'Plan rashoda za unos u SAP'!$C$3:$C$501,"=12",'Plan rashoda za unos u SAP'!$M$3:$M$501,"=411")+SUMIFS('ANALITIKA EU PROJEKATA'!$G$3:$G$34,'ANALITIKA EU PROJEKATA'!$A$3:$A$34,"=12",'ANALITIKA EU PROJEKATA'!$P$3:$P$34,"=411")</f>
        <v>0</v>
      </c>
      <c r="G40" s="138">
        <f>SUMIFS('Plan rashoda za unos u SAP'!$I$3:$I$501,'Plan rashoda za unos u SAP'!$C$3:$C$501,"=31",'Plan rashoda za unos u SAP'!$M$3:$M$501,"=411")+SUMIFS('ANALITIKA EU PROJEKATA'!$G$3:$G$34,'ANALITIKA EU PROJEKATA'!$A$3:$A$34,"=31",'ANALITIKA EU PROJEKATA'!$P$3:$P$34,"=411")</f>
        <v>0</v>
      </c>
      <c r="H40" s="138">
        <f>SUMIFS('Plan rashoda za unos u SAP'!$I$3:$I$501,'Plan rashoda za unos u SAP'!$C$3:$C$501,"=41",'Plan rashoda za unos u SAP'!$M$3:$M$501,"=411")+SUMIFS('ANALITIKA EU PROJEKATA'!$G$3:$G$34,'ANALITIKA EU PROJEKATA'!$A$3:$A$34,"=41",'ANALITIKA EU PROJEKATA'!$P$3:$P$34,"=411")</f>
        <v>0</v>
      </c>
      <c r="I40" s="138">
        <f>SUMIFS('Plan rashoda za unos u SAP'!$I$3:$I$501,'Plan rashoda za unos u SAP'!$C$3:$C$501,"=43",'Plan rashoda za unos u SAP'!$M$3:$M$501,"=411")+SUMIFS('ANALITIKA EU PROJEKATA'!$G$3:$G$34,'ANALITIKA EU PROJEKATA'!$A$3:$A$34,"=43",'ANALITIKA EU PROJEKATA'!$P$3:$P$34,"=411")</f>
        <v>0</v>
      </c>
      <c r="J40" s="138">
        <f>SUMIFS('Plan rashoda za unos u SAP'!$I$3:$I$501,'Plan rashoda za unos u SAP'!$C$3:$C$501,"=51",'Plan rashoda za unos u SAP'!$M$3:$M$501,"=411")+SUMIFS('ANALITIKA EU PROJEKATA'!$G$3:$G$34,'ANALITIKA EU PROJEKATA'!$A$3:$A$34,"=51",'ANALITIKA EU PROJEKATA'!$P$3:$P$34,"=411")</f>
        <v>0</v>
      </c>
      <c r="K40" s="138">
        <f>SUMIFS('Plan rashoda za unos u SAP'!$I$3:$I$501,'Plan rashoda za unos u SAP'!$C$3:$C$501,"=52",'Plan rashoda za unos u SAP'!$M$3:$M$501,"=411")+SUMIFS('ANALITIKA EU PROJEKATA'!$G$3:$G$34,'ANALITIKA EU PROJEKATA'!$A$3:$A$34,"=52",'ANALITIKA EU PROJEKATA'!$P$3:$P$34,"=411")</f>
        <v>0</v>
      </c>
      <c r="L40" s="138">
        <f>SUMIFS('Plan rashoda za unos u SAP'!$I$3:$I$501,'Plan rashoda za unos u SAP'!$C$3:$C$501,"=552",'Plan rashoda za unos u SAP'!$M$3:$M$501,"=411")+SUMIFS('ANALITIKA EU PROJEKATA'!$G$3:$G$34,'ANALITIKA EU PROJEKATA'!$A$3:$A$34,"=552",'ANALITIKA EU PROJEKATA'!$P$3:$P$34,"=411")</f>
        <v>0</v>
      </c>
      <c r="M40" s="138">
        <f>SUMIFS('Plan rashoda za unos u SAP'!$I$3:$I$501,'Plan rashoda za unos u SAP'!$C$3:$C$501,"=559",'Plan rashoda za unos u SAP'!$M$3:$M$501,"=411")+SUMIFS('ANALITIKA EU PROJEKATA'!$G$3:$G$34,'ANALITIKA EU PROJEKATA'!$A$3:$A$34,"=559",'ANALITIKA EU PROJEKATA'!$P$3:$P$34,"=411")</f>
        <v>0</v>
      </c>
      <c r="N40" s="138">
        <f>SUMIFS('Plan rashoda za unos u SAP'!$I$3:$I$501,'Plan rashoda za unos u SAP'!$C$3:$C$501,"=561",'Plan rashoda za unos u SAP'!$M$3:$M$501,"=411")+SUMIFS('ANALITIKA EU PROJEKATA'!$G$3:$G$34,'ANALITIKA EU PROJEKATA'!$A$3:$A$34,"=561",'ANALITIKA EU PROJEKATA'!$P$3:$P$34,"=411")</f>
        <v>0</v>
      </c>
      <c r="O40" s="138">
        <f>SUMIFS('Plan rashoda za unos u SAP'!$I$3:$I$501,'Plan rashoda za unos u SAP'!$C$3:$C$501,"=563",'Plan rashoda za unos u SAP'!$M$3:$M$501,"=411")+SUMIFS('ANALITIKA EU PROJEKATA'!$G$3:$G$34,'ANALITIKA EU PROJEKATA'!$A$3:$A$34,"=563",'ANALITIKA EU PROJEKATA'!$P$3:$P$34,"=411")</f>
        <v>0</v>
      </c>
      <c r="P40" s="138">
        <f>SUMIFS('Plan rashoda za unos u SAP'!$I$3:$I$501,'Plan rashoda za unos u SAP'!$C$3:$C$501,"=573",'Plan rashoda za unos u SAP'!$M$3:$M$501,"=411")+SUMIFS('ANALITIKA EU PROJEKATA'!$G$3:$G$34,'ANALITIKA EU PROJEKATA'!$A$3:$A$34,"=573",'ANALITIKA EU PROJEKATA'!$P$3:$P$34,"=411")</f>
        <v>0</v>
      </c>
      <c r="Q40" s="138">
        <f>SUMIFS('Plan rashoda za unos u SAP'!$I$3:$I$501,'Plan rashoda za unos u SAP'!$C$3:$C$501,"=575",'Plan rashoda za unos u SAP'!$M$3:$M$501,"=411")+SUMIFS('ANALITIKA EU PROJEKATA'!$G$3:$G$34,'ANALITIKA EU PROJEKATA'!$A$3:$A$34,"=575",'ANALITIKA EU PROJEKATA'!$P$3:$P$34,"=411")</f>
        <v>0</v>
      </c>
      <c r="R40" s="138">
        <f>SUMIFS('Plan rashoda za unos u SAP'!$I$3:$I$501,'Plan rashoda za unos u SAP'!$C$3:$C$501,"=576",'Plan rashoda za unos u SAP'!$M$3:$M$501,"=411")+SUMIFS('ANALITIKA EU PROJEKATA'!$G$3:$G$34,'ANALITIKA EU PROJEKATA'!$A$3:$A$34,"=576",'ANALITIKA EU PROJEKATA'!$P$3:$P$34,"=411")</f>
        <v>0</v>
      </c>
      <c r="S40" s="138">
        <f>SUMIFS('Plan rashoda za unos u SAP'!$I$3:$I$501,'Plan rashoda za unos u SAP'!$C$3:$C$501,"=581",'Plan rashoda za unos u SAP'!$M$3:$M$501,"=411")+SUMIFS('ANALITIKA EU PROJEKATA'!$G$3:$G$34,'ANALITIKA EU PROJEKATA'!$A$3:$A$34,"=581",'ANALITIKA EU PROJEKATA'!$P$3:$P$34,"=411")</f>
        <v>0</v>
      </c>
      <c r="T40" s="138">
        <f>SUMIFS('Plan rashoda za unos u SAP'!$I$3:$I$501,'Plan rashoda za unos u SAP'!$C$3:$C$501,"=61",'Plan rashoda za unos u SAP'!$M$3:$M$501,"=411")+SUMIFS('ANALITIKA EU PROJEKATA'!$G$3:$G$34,'ANALITIKA EU PROJEKATA'!$A$3:$A$34,"=61",'ANALITIKA EU PROJEKATA'!$P$3:$P$34,"=411")</f>
        <v>0</v>
      </c>
      <c r="U40" s="138">
        <f>SUMIFS('Plan rashoda za unos u SAP'!$I$3:$I$501,'Plan rashoda za unos u SAP'!$C$3:$C$501,"=63",'Plan rashoda za unos u SAP'!$M$3:$M$501,"=411")+SUMIFS('ANALITIKA EU PROJEKATA'!$G$3:$G$34,'ANALITIKA EU PROJEKATA'!$A$3:$A$34,"=63",'ANALITIKA EU PROJEKATA'!$P$3:$P$34,"=411")</f>
        <v>0</v>
      </c>
      <c r="V40" s="138">
        <f>SUMIFS('Plan rashoda za unos u SAP'!$I$3:$I$501,'Plan rashoda za unos u SAP'!$C$3:$C$501,"=71",'Plan rashoda za unos u SAP'!$M$3:$M$501,"=411")+SUMIFS('ANALITIKA EU PROJEKATA'!$G$3:$G$34,'ANALITIKA EU PROJEKATA'!$A$3:$A$34,"=71",'ANALITIKA EU PROJEKATA'!$P$3:$P$34,"=411")</f>
        <v>0</v>
      </c>
      <c r="W40" s="138">
        <f>SUMIFS('Plan rashoda za unos u SAP'!$I$3:$I$501,'Plan rashoda za unos u SAP'!$C$3:$C$501,"=81",'Plan rashoda za unos u SAP'!$M$3:$M$501,"=411")+SUMIFS('ANALITIKA EU PROJEKATA'!$G$3:$G$34,'ANALITIKA EU PROJEKATA'!$A$3:$A$34,"=81",'ANALITIKA EU PROJEKATA'!$P$3:$P$34,"=411")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PROJEKATA'!$G$3:$G$34,'ANALITIKA EU PROJEKATA'!$A$3:$A$34,"=11",'ANALITIKA EU PROJEKATA'!$P$3:$P$34,"=412")</f>
        <v>0</v>
      </c>
      <c r="F41" s="138">
        <f>SUMIFS('Plan rashoda za unos u SAP'!$I$3:$I$501,'Plan rashoda za unos u SAP'!$C$3:$C$501,"=12",'Plan rashoda za unos u SAP'!$M$3:$M$501,"=412")+SUMIFS('ANALITIKA EU PROJEKATA'!$G$3:$G$34,'ANALITIKA EU PROJEKATA'!$A$3:$A$34,"=12",'ANALITIKA EU PROJEKATA'!$P$3:$P$34,"=412")</f>
        <v>0</v>
      </c>
      <c r="G41" s="138">
        <f>SUMIFS('Plan rashoda za unos u SAP'!$I$3:$I$501,'Plan rashoda za unos u SAP'!$C$3:$C$501,"=31",'Plan rashoda za unos u SAP'!$M$3:$M$501,"=412")+SUMIFS('ANALITIKA EU PROJEKATA'!$G$3:$G$34,'ANALITIKA EU PROJEKATA'!$A$3:$A$34,"=31",'ANALITIKA EU PROJEKATA'!$P$3:$P$34,"=412")</f>
        <v>0</v>
      </c>
      <c r="H41" s="138">
        <f>SUMIFS('Plan rashoda za unos u SAP'!$I$3:$I$501,'Plan rashoda za unos u SAP'!$C$3:$C$501,"=41",'Plan rashoda za unos u SAP'!$M$3:$M$501,"=412")+SUMIFS('ANALITIKA EU PROJEKATA'!$G$3:$G$34,'ANALITIKA EU PROJEKATA'!$A$3:$A$34,"=41",'ANALITIKA EU PROJEKATA'!$P$3:$P$34,"=412")</f>
        <v>0</v>
      </c>
      <c r="I41" s="138">
        <f>SUMIFS('Plan rashoda za unos u SAP'!$I$3:$I$501,'Plan rashoda za unos u SAP'!$C$3:$C$501,"=43",'Plan rashoda za unos u SAP'!$M$3:$M$501,"=412")+SUMIFS('ANALITIKA EU PROJEKATA'!$G$3:$G$34,'ANALITIKA EU PROJEKATA'!$A$3:$A$34,"=43",'ANALITIKA EU PROJEKATA'!$P$3:$P$34,"=412")</f>
        <v>0</v>
      </c>
      <c r="J41" s="138">
        <f>SUMIFS('Plan rashoda za unos u SAP'!$I$3:$I$501,'Plan rashoda za unos u SAP'!$C$3:$C$501,"=51",'Plan rashoda za unos u SAP'!$M$3:$M$501,"=412")+SUMIFS('ANALITIKA EU PROJEKATA'!$G$3:$G$34,'ANALITIKA EU PROJEKATA'!$A$3:$A$34,"=51",'ANALITIKA EU PROJEKATA'!$P$3:$P$34,"=412")</f>
        <v>0</v>
      </c>
      <c r="K41" s="138">
        <f>SUMIFS('Plan rashoda za unos u SAP'!$I$3:$I$501,'Plan rashoda za unos u SAP'!$C$3:$C$501,"=52",'Plan rashoda za unos u SAP'!$M$3:$M$501,"=412")+SUMIFS('ANALITIKA EU PROJEKATA'!$G$3:$G$34,'ANALITIKA EU PROJEKATA'!$A$3:$A$34,"=52",'ANALITIKA EU PROJEKATA'!$P$3:$P$34,"=412")</f>
        <v>0</v>
      </c>
      <c r="L41" s="138">
        <f>SUMIFS('Plan rashoda za unos u SAP'!$I$3:$I$501,'Plan rashoda za unos u SAP'!$C$3:$C$501,"=552",'Plan rashoda za unos u SAP'!$M$3:$M$501,"=412")+SUMIFS('ANALITIKA EU PROJEKATA'!$G$3:$G$34,'ANALITIKA EU PROJEKATA'!$A$3:$A$34,"=552",'ANALITIKA EU PROJEKATA'!$P$3:$P$34,"=412")</f>
        <v>0</v>
      </c>
      <c r="M41" s="138">
        <f>SUMIFS('Plan rashoda za unos u SAP'!$I$3:$I$501,'Plan rashoda za unos u SAP'!$C$3:$C$501,"=559",'Plan rashoda za unos u SAP'!$M$3:$M$501,"=412")+SUMIFS('ANALITIKA EU PROJEKATA'!$G$3:$G$34,'ANALITIKA EU PROJEKATA'!$A$3:$A$34,"=559",'ANALITIKA EU PROJEKATA'!$P$3:$P$34,"=412")</f>
        <v>0</v>
      </c>
      <c r="N41" s="138">
        <f>SUMIFS('Plan rashoda za unos u SAP'!$I$3:$I$501,'Plan rashoda za unos u SAP'!$C$3:$C$501,"=561",'Plan rashoda za unos u SAP'!$M$3:$M$501,"=412")+SUMIFS('ANALITIKA EU PROJEKATA'!$G$3:$G$34,'ANALITIKA EU PROJEKATA'!$A$3:$A$34,"=561",'ANALITIKA EU PROJEKATA'!$P$3:$P$34,"=412")</f>
        <v>0</v>
      </c>
      <c r="O41" s="138">
        <f>SUMIFS('Plan rashoda za unos u SAP'!$I$3:$I$501,'Plan rashoda za unos u SAP'!$C$3:$C$501,"=563",'Plan rashoda za unos u SAP'!$M$3:$M$501,"=412")+SUMIFS('ANALITIKA EU PROJEKATA'!$G$3:$G$34,'ANALITIKA EU PROJEKATA'!$A$3:$A$34,"=563",'ANALITIKA EU PROJEKATA'!$P$3:$P$34,"=412")</f>
        <v>0</v>
      </c>
      <c r="P41" s="138">
        <f>SUMIFS('Plan rashoda za unos u SAP'!$I$3:$I$501,'Plan rashoda za unos u SAP'!$C$3:$C$501,"=573",'Plan rashoda za unos u SAP'!$M$3:$M$501,"=412")+SUMIFS('ANALITIKA EU PROJEKATA'!$G$3:$G$34,'ANALITIKA EU PROJEKATA'!$A$3:$A$34,"=573",'ANALITIKA EU PROJEKATA'!$P$3:$P$34,"=412")</f>
        <v>0</v>
      </c>
      <c r="Q41" s="138">
        <f>SUMIFS('Plan rashoda za unos u SAP'!$I$3:$I$501,'Plan rashoda za unos u SAP'!$C$3:$C$501,"=575",'Plan rashoda za unos u SAP'!$M$3:$M$501,"=412")+SUMIFS('ANALITIKA EU PROJEKATA'!$G$3:$G$34,'ANALITIKA EU PROJEKATA'!$A$3:$A$34,"=575",'ANALITIKA EU PROJEKATA'!$P$3:$P$34,"=412")</f>
        <v>0</v>
      </c>
      <c r="R41" s="138">
        <f>SUMIFS('Plan rashoda za unos u SAP'!$I$3:$I$501,'Plan rashoda za unos u SAP'!$C$3:$C$501,"=576",'Plan rashoda za unos u SAP'!$M$3:$M$501,"=412")+SUMIFS('ANALITIKA EU PROJEKATA'!$G$3:$G$34,'ANALITIKA EU PROJEKATA'!$A$3:$A$34,"=576",'ANALITIKA EU PROJEKATA'!$P$3:$P$34,"=412")</f>
        <v>0</v>
      </c>
      <c r="S41" s="138">
        <f>SUMIFS('Plan rashoda za unos u SAP'!$I$3:$I$501,'Plan rashoda za unos u SAP'!$C$3:$C$501,"=581",'Plan rashoda za unos u SAP'!$M$3:$M$501,"=412")+SUMIFS('ANALITIKA EU PROJEKATA'!$G$3:$G$34,'ANALITIKA EU PROJEKATA'!$A$3:$A$34,"=581",'ANALITIKA EU PROJEKATA'!$P$3:$P$34,"=412")</f>
        <v>0</v>
      </c>
      <c r="T41" s="138">
        <f>SUMIFS('Plan rashoda za unos u SAP'!$I$3:$I$501,'Plan rashoda za unos u SAP'!$C$3:$C$501,"=61",'Plan rashoda za unos u SAP'!$M$3:$M$501,"=412")+SUMIFS('ANALITIKA EU PROJEKATA'!$G$3:$G$34,'ANALITIKA EU PROJEKATA'!$A$3:$A$34,"=61",'ANALITIKA EU PROJEKATA'!$P$3:$P$34,"=412")</f>
        <v>0</v>
      </c>
      <c r="U41" s="138">
        <f>SUMIFS('Plan rashoda za unos u SAP'!$I$3:$I$501,'Plan rashoda za unos u SAP'!$C$3:$C$501,"=63",'Plan rashoda za unos u SAP'!$M$3:$M$501,"=412")+SUMIFS('ANALITIKA EU PROJEKATA'!$G$3:$G$34,'ANALITIKA EU PROJEKATA'!$A$3:$A$34,"=63",'ANALITIKA EU PROJEKATA'!$P$3:$P$34,"=412")</f>
        <v>0</v>
      </c>
      <c r="V41" s="138">
        <f>SUMIFS('Plan rashoda za unos u SAP'!$I$3:$I$501,'Plan rashoda za unos u SAP'!$C$3:$C$501,"=71",'Plan rashoda za unos u SAP'!$M$3:$M$501,"=412")+SUMIFS('ANALITIKA EU PROJEKATA'!$G$3:$G$34,'ANALITIKA EU PROJEKATA'!$A$3:$A$34,"=71",'ANALITIKA EU PROJEKATA'!$P$3:$P$34,"=412")</f>
        <v>0</v>
      </c>
      <c r="W41" s="138">
        <f>SUMIFS('Plan rashoda za unos u SAP'!$I$3:$I$501,'Plan rashoda za unos u SAP'!$C$3:$C$501,"=81",'Plan rashoda za unos u SAP'!$M$3:$M$501,"=412")+SUMIFS('ANALITIKA EU PROJEKATA'!$G$3:$G$34,'ANALITIKA EU PROJEKATA'!$A$3:$A$34,"=81",'ANALITIKA EU PROJEKATA'!$P$3:$P$34,"=412")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545000</v>
      </c>
      <c r="E42" s="4">
        <f t="shared" ref="E42:W42" si="13">SUM(E43:E48)</f>
        <v>0</v>
      </c>
      <c r="F42" s="4">
        <f t="shared" si="13"/>
        <v>0</v>
      </c>
      <c r="G42" s="4">
        <f t="shared" si="13"/>
        <v>30000</v>
      </c>
      <c r="H42" s="4">
        <f>SUM(H43:H48)</f>
        <v>0</v>
      </c>
      <c r="I42" s="4">
        <f t="shared" si="13"/>
        <v>450000</v>
      </c>
      <c r="J42" s="4">
        <f t="shared" si="13"/>
        <v>0</v>
      </c>
      <c r="K42" s="4">
        <f t="shared" si="13"/>
        <v>65000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PROJEKATA'!$G$3:$G$34,'ANALITIKA EU PROJEKATA'!$A$3:$A$34,"=11",'ANALITIKA EU PROJEKATA'!$P$3:$P$34,"=421")</f>
        <v>0</v>
      </c>
      <c r="F43" s="138">
        <f>SUMIFS('Plan rashoda za unos u SAP'!$I$3:$I$501,'Plan rashoda za unos u SAP'!$C$3:$C$501,"=12",'Plan rashoda za unos u SAP'!$M$3:$M$501,"=421")+SUMIFS('ANALITIKA EU PROJEKATA'!$G$3:$G$34,'ANALITIKA EU PROJEKATA'!$A$3:$A$34,"=12",'ANALITIKA EU PROJEKATA'!$P$3:$P$34,"=421")</f>
        <v>0</v>
      </c>
      <c r="G43" s="138">
        <f>SUMIFS('Plan rashoda za unos u SAP'!$I$3:$I$501,'Plan rashoda za unos u SAP'!$C$3:$C$501,"=31",'Plan rashoda za unos u SAP'!$M$3:$M$501,"=421")+SUMIFS('ANALITIKA EU PROJEKATA'!$G$3:$G$34,'ANALITIKA EU PROJEKATA'!$A$3:$A$34,"=31",'ANALITIKA EU PROJEKATA'!$P$3:$P$34,"=421")</f>
        <v>0</v>
      </c>
      <c r="H43" s="138">
        <f>SUMIFS('Plan rashoda za unos u SAP'!$I$3:$I$501,'Plan rashoda za unos u SAP'!$C$3:$C$501,"=41",'Plan rashoda za unos u SAP'!$M$3:$M$501,"=421")+SUMIFS('ANALITIKA EU PROJEKATA'!$G$3:$G$34,'ANALITIKA EU PROJEKATA'!$A$3:$A$34,"=41",'ANALITIKA EU PROJEKATA'!$P$3:$P$34,"=421")</f>
        <v>0</v>
      </c>
      <c r="I43" s="138">
        <f>SUMIFS('Plan rashoda za unos u SAP'!$I$3:$I$501,'Plan rashoda za unos u SAP'!$C$3:$C$501,"=43",'Plan rashoda za unos u SAP'!$M$3:$M$501,"=421")+SUMIFS('ANALITIKA EU PROJEKATA'!$G$3:$G$34,'ANALITIKA EU PROJEKATA'!$A$3:$A$34,"=43",'ANALITIKA EU PROJEKATA'!$P$3:$P$34,"=421")</f>
        <v>0</v>
      </c>
      <c r="J43" s="138">
        <f>SUMIFS('Plan rashoda za unos u SAP'!$I$3:$I$501,'Plan rashoda za unos u SAP'!$C$3:$C$501,"=51",'Plan rashoda za unos u SAP'!$M$3:$M$501,"=421")+SUMIFS('ANALITIKA EU PROJEKATA'!$G$3:$G$34,'ANALITIKA EU PROJEKATA'!$A$3:$A$34,"=51",'ANALITIKA EU PROJEKATA'!$P$3:$P$34,"=421")</f>
        <v>0</v>
      </c>
      <c r="K43" s="138">
        <f>SUMIFS('Plan rashoda za unos u SAP'!$I$3:$I$501,'Plan rashoda za unos u SAP'!$C$3:$C$501,"=52",'Plan rashoda za unos u SAP'!$M$3:$M$501,"=421")+SUMIFS('ANALITIKA EU PROJEKATA'!$G$3:$G$34,'ANALITIKA EU PROJEKATA'!$A$3:$A$34,"=52",'ANALITIKA EU PROJEKATA'!$P$3:$P$34,"=421")</f>
        <v>0</v>
      </c>
      <c r="L43" s="138">
        <f>SUMIFS('Plan rashoda za unos u SAP'!$I$3:$I$501,'Plan rashoda za unos u SAP'!$C$3:$C$501,"=552",'Plan rashoda za unos u SAP'!$M$3:$M$501,"=421")+SUMIFS('ANALITIKA EU PROJEKATA'!$G$3:$G$34,'ANALITIKA EU PROJEKATA'!$A$3:$A$34,"=552",'ANALITIKA EU PROJEKATA'!$P$3:$P$34,"=421")</f>
        <v>0</v>
      </c>
      <c r="M43" s="138">
        <f>SUMIFS('Plan rashoda za unos u SAP'!$I$3:$I$501,'Plan rashoda za unos u SAP'!$C$3:$C$501,"=559",'Plan rashoda za unos u SAP'!$M$3:$M$501,"=421")+SUMIFS('ANALITIKA EU PROJEKATA'!$G$3:$G$34,'ANALITIKA EU PROJEKATA'!$A$3:$A$34,"=559",'ANALITIKA EU PROJEKATA'!$P$3:$P$34,"=421")</f>
        <v>0</v>
      </c>
      <c r="N43" s="138">
        <f>SUMIFS('Plan rashoda za unos u SAP'!$I$3:$I$501,'Plan rashoda za unos u SAP'!$C$3:$C$501,"=561",'Plan rashoda za unos u SAP'!$M$3:$M$501,"=421")+SUMIFS('ANALITIKA EU PROJEKATA'!$G$3:$G$34,'ANALITIKA EU PROJEKATA'!$A$3:$A$34,"=561",'ANALITIKA EU PROJEKATA'!$P$3:$P$34,"=421")</f>
        <v>0</v>
      </c>
      <c r="O43" s="138">
        <f>SUMIFS('Plan rashoda za unos u SAP'!$I$3:$I$501,'Plan rashoda za unos u SAP'!$C$3:$C$501,"=563",'Plan rashoda za unos u SAP'!$M$3:$M$501,"=421")+SUMIFS('ANALITIKA EU PROJEKATA'!$G$3:$G$34,'ANALITIKA EU PROJEKATA'!$A$3:$A$34,"=563",'ANALITIKA EU PROJEKATA'!$P$3:$P$34,"=421")</f>
        <v>0</v>
      </c>
      <c r="P43" s="138">
        <f>SUMIFS('Plan rashoda za unos u SAP'!$I$3:$I$501,'Plan rashoda za unos u SAP'!$C$3:$C$501,"=573",'Plan rashoda za unos u SAP'!$M$3:$M$501,"=421")+SUMIFS('ANALITIKA EU PROJEKATA'!$G$3:$G$34,'ANALITIKA EU PROJEKATA'!$A$3:$A$34,"=573",'ANALITIKA EU PROJEKATA'!$P$3:$P$34,"=421")</f>
        <v>0</v>
      </c>
      <c r="Q43" s="138">
        <f>SUMIFS('Plan rashoda za unos u SAP'!$I$3:$I$501,'Plan rashoda za unos u SAP'!$C$3:$C$501,"=575",'Plan rashoda za unos u SAP'!$M$3:$M$501,"=421")+SUMIFS('ANALITIKA EU PROJEKATA'!$G$3:$G$34,'ANALITIKA EU PROJEKATA'!$A$3:$A$34,"=575",'ANALITIKA EU PROJEKATA'!$P$3:$P$34,"=421")</f>
        <v>0</v>
      </c>
      <c r="R43" s="138">
        <f>SUMIFS('Plan rashoda za unos u SAP'!$I$3:$I$501,'Plan rashoda za unos u SAP'!$C$3:$C$501,"=576",'Plan rashoda za unos u SAP'!$M$3:$M$501,"=421")+SUMIFS('ANALITIKA EU PROJEKATA'!$G$3:$G$34,'ANALITIKA EU PROJEKATA'!$A$3:$A$34,"=576",'ANALITIKA EU PROJEKATA'!$P$3:$P$34,"=421")</f>
        <v>0</v>
      </c>
      <c r="S43" s="138">
        <f>SUMIFS('Plan rashoda za unos u SAP'!$I$3:$I$501,'Plan rashoda za unos u SAP'!$C$3:$C$501,"=581",'Plan rashoda za unos u SAP'!$M$3:$M$501,"=421")+SUMIFS('ANALITIKA EU PROJEKATA'!$G$3:$G$34,'ANALITIKA EU PROJEKATA'!$A$3:$A$34,"=581",'ANALITIKA EU PROJEKATA'!$P$3:$P$34,"=421")</f>
        <v>0</v>
      </c>
      <c r="T43" s="138">
        <f>SUMIFS('Plan rashoda za unos u SAP'!$I$3:$I$501,'Plan rashoda za unos u SAP'!$C$3:$C$501,"=61",'Plan rashoda za unos u SAP'!$M$3:$M$501,"=421")+SUMIFS('ANALITIKA EU PROJEKATA'!$G$3:$G$34,'ANALITIKA EU PROJEKATA'!$A$3:$A$34,"=61",'ANALITIKA EU PROJEKATA'!$P$3:$P$34,"=421")</f>
        <v>0</v>
      </c>
      <c r="U43" s="138">
        <f>SUMIFS('Plan rashoda za unos u SAP'!$I$3:$I$501,'Plan rashoda za unos u SAP'!$C$3:$C$501,"=63",'Plan rashoda za unos u SAP'!$M$3:$M$501,"=421")+SUMIFS('ANALITIKA EU PROJEKATA'!$G$3:$G$34,'ANALITIKA EU PROJEKATA'!$A$3:$A$34,"=63",'ANALITIKA EU PROJEKATA'!$P$3:$P$34,"=421")</f>
        <v>0</v>
      </c>
      <c r="V43" s="138">
        <f>SUMIFS('Plan rashoda za unos u SAP'!$I$3:$I$501,'Plan rashoda za unos u SAP'!$C$3:$C$501,"=71",'Plan rashoda za unos u SAP'!$M$3:$M$501,"=421")+SUMIFS('ANALITIKA EU PROJEKATA'!$G$3:$G$34,'ANALITIKA EU PROJEKATA'!$A$3:$A$34,"=71",'ANALITIKA EU PROJEKATA'!$P$3:$P$34,"=421")</f>
        <v>0</v>
      </c>
      <c r="W43" s="138">
        <f>SUMIFS('Plan rashoda za unos u SAP'!$I$3:$I$501,'Plan rashoda za unos u SAP'!$C$3:$C$501,"=81",'Plan rashoda za unos u SAP'!$M$3:$M$501,"=421")+SUMIFS('ANALITIKA EU PROJEKATA'!$G$3:$G$34,'ANALITIKA EU PROJEKATA'!$A$3:$A$34,"=81",'ANALITIKA EU PROJEKATA'!$P$3:$P$34,"=421")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535000</v>
      </c>
      <c r="E44" s="138">
        <f>SUMIFS('Plan rashoda za unos u SAP'!$I$3:$I$501,'Plan rashoda za unos u SAP'!$C$3:$C$501,"=11",'Plan rashoda za unos u SAP'!$M$3:$M$501,"=422")+SUMIFS('ANALITIKA EU PROJEKATA'!$G$3:$G$34,'ANALITIKA EU PROJEKATA'!$A$3:$A$34,"=11",'ANALITIKA EU PROJEKATA'!$P$3:$P$34,"=422")</f>
        <v>0</v>
      </c>
      <c r="F44" s="138">
        <f>SUMIFS('Plan rashoda za unos u SAP'!$I$3:$I$501,'Plan rashoda za unos u SAP'!$C$3:$C$501,"=12",'Plan rashoda za unos u SAP'!$M$3:$M$501,"=422")+SUMIFS('ANALITIKA EU PROJEKATA'!$G$3:$G$34,'ANALITIKA EU PROJEKATA'!$A$3:$A$34,"=12",'ANALITIKA EU PROJEKATA'!$P$3:$P$34,"=422")</f>
        <v>0</v>
      </c>
      <c r="G44" s="138">
        <f>SUMIFS('Plan rashoda za unos u SAP'!$I$3:$I$501,'Plan rashoda za unos u SAP'!$C$3:$C$501,"=31",'Plan rashoda za unos u SAP'!$M$3:$M$501,"=422")+SUMIFS('ANALITIKA EU PROJEKATA'!$G$3:$G$34,'ANALITIKA EU PROJEKATA'!$A$3:$A$34,"=31",'ANALITIKA EU PROJEKATA'!$P$3:$P$34,"=422")</f>
        <v>30000</v>
      </c>
      <c r="H44" s="138">
        <f>SUMIFS('Plan rashoda za unos u SAP'!$I$3:$I$501,'Plan rashoda za unos u SAP'!$C$3:$C$501,"=41",'Plan rashoda za unos u SAP'!$M$3:$M$501,"=422")+SUMIFS('ANALITIKA EU PROJEKATA'!$G$3:$G$34,'ANALITIKA EU PROJEKATA'!$A$3:$A$34,"=41",'ANALITIKA EU PROJEKATA'!$P$3:$P$34,"=422")</f>
        <v>0</v>
      </c>
      <c r="I44" s="138">
        <f>SUMIFS('Plan rashoda za unos u SAP'!$I$3:$I$501,'Plan rashoda za unos u SAP'!$C$3:$C$501,"=43",'Plan rashoda za unos u SAP'!$M$3:$M$501,"=422")+SUMIFS('ANALITIKA EU PROJEKATA'!$G$3:$G$34,'ANALITIKA EU PROJEKATA'!$A$3:$A$34,"=43",'ANALITIKA EU PROJEKATA'!$P$3:$P$34,"=422")</f>
        <v>440000</v>
      </c>
      <c r="J44" s="138">
        <f>SUMIFS('Plan rashoda za unos u SAP'!$I$3:$I$501,'Plan rashoda za unos u SAP'!$C$3:$C$501,"=51",'Plan rashoda za unos u SAP'!$M$3:$M$501,"=422")+SUMIFS('ANALITIKA EU PROJEKATA'!$G$3:$G$34,'ANALITIKA EU PROJEKATA'!$A$3:$A$34,"=51",'ANALITIKA EU PROJEKATA'!$P$3:$P$34,"=422")</f>
        <v>0</v>
      </c>
      <c r="K44" s="138">
        <f>SUMIFS('Plan rashoda za unos u SAP'!$I$3:$I$501,'Plan rashoda za unos u SAP'!$C$3:$C$501,"=52",'Plan rashoda za unos u SAP'!$M$3:$M$501,"=422")+SUMIFS('ANALITIKA EU PROJEKATA'!$G$3:$G$34,'ANALITIKA EU PROJEKATA'!$A$3:$A$34,"=52",'ANALITIKA EU PROJEKATA'!$P$3:$P$34,"=422")</f>
        <v>65000</v>
      </c>
      <c r="L44" s="138">
        <f>SUMIFS('Plan rashoda za unos u SAP'!$I$3:$I$501,'Plan rashoda za unos u SAP'!$C$3:$C$501,"=552",'Plan rashoda za unos u SAP'!$M$3:$M$501,"=422")+SUMIFS('ANALITIKA EU PROJEKATA'!$G$3:$G$34,'ANALITIKA EU PROJEKATA'!$A$3:$A$34,"=552",'ANALITIKA EU PROJEKATA'!$P$3:$P$34,"=422")</f>
        <v>0</v>
      </c>
      <c r="M44" s="138">
        <f>SUMIFS('Plan rashoda za unos u SAP'!$I$3:$I$501,'Plan rashoda za unos u SAP'!$C$3:$C$501,"=559",'Plan rashoda za unos u SAP'!$M$3:$M$501,"=422")+SUMIFS('ANALITIKA EU PROJEKATA'!$G$3:$G$34,'ANALITIKA EU PROJEKATA'!$A$3:$A$34,"=559",'ANALITIKA EU PROJEKATA'!$P$3:$P$34,"=422")</f>
        <v>0</v>
      </c>
      <c r="N44" s="138">
        <f>SUMIFS('Plan rashoda za unos u SAP'!$I$3:$I$501,'Plan rashoda za unos u SAP'!$C$3:$C$501,"=561",'Plan rashoda za unos u SAP'!$M$3:$M$501,"=422")+SUMIFS('ANALITIKA EU PROJEKATA'!$G$3:$G$34,'ANALITIKA EU PROJEKATA'!$A$3:$A$34,"=561",'ANALITIKA EU PROJEKATA'!$P$3:$P$34,"=422")</f>
        <v>0</v>
      </c>
      <c r="O44" s="138">
        <f>SUMIFS('Plan rashoda za unos u SAP'!$I$3:$I$501,'Plan rashoda za unos u SAP'!$C$3:$C$501,"=563",'Plan rashoda za unos u SAP'!$M$3:$M$501,"=422")+SUMIFS('ANALITIKA EU PROJEKATA'!$G$3:$G$34,'ANALITIKA EU PROJEKATA'!$A$3:$A$34,"=563",'ANALITIKA EU PROJEKATA'!$P$3:$P$34,"=422")</f>
        <v>0</v>
      </c>
      <c r="P44" s="138">
        <f>SUMIFS('Plan rashoda za unos u SAP'!$I$3:$I$501,'Plan rashoda za unos u SAP'!$C$3:$C$501,"=573",'Plan rashoda za unos u SAP'!$M$3:$M$501,"=422")+SUMIFS('ANALITIKA EU PROJEKATA'!$G$3:$G$34,'ANALITIKA EU PROJEKATA'!$A$3:$A$34,"=573",'ANALITIKA EU PROJEKATA'!$P$3:$P$34,"=422")</f>
        <v>0</v>
      </c>
      <c r="Q44" s="138">
        <f>SUMIFS('Plan rashoda za unos u SAP'!$I$3:$I$501,'Plan rashoda za unos u SAP'!$C$3:$C$501,"=575",'Plan rashoda za unos u SAP'!$M$3:$M$501,"=422")+SUMIFS('ANALITIKA EU PROJEKATA'!$G$3:$G$34,'ANALITIKA EU PROJEKATA'!$A$3:$A$34,"=575",'ANALITIKA EU PROJEKATA'!$P$3:$P$34,"=422")</f>
        <v>0</v>
      </c>
      <c r="R44" s="138">
        <f>SUMIFS('Plan rashoda za unos u SAP'!$I$3:$I$501,'Plan rashoda za unos u SAP'!$C$3:$C$501,"=576",'Plan rashoda za unos u SAP'!$M$3:$M$501,"=422")+SUMIFS('ANALITIKA EU PROJEKATA'!$G$3:$G$34,'ANALITIKA EU PROJEKATA'!$A$3:$A$34,"=576",'ANALITIKA EU PROJEKATA'!$P$3:$P$34,"=422")</f>
        <v>0</v>
      </c>
      <c r="S44" s="138">
        <f>SUMIFS('Plan rashoda za unos u SAP'!$I$3:$I$501,'Plan rashoda za unos u SAP'!$C$3:$C$501,"=581",'Plan rashoda za unos u SAP'!$M$3:$M$501,"=422")+SUMIFS('ANALITIKA EU PROJEKATA'!$G$3:$G$34,'ANALITIKA EU PROJEKATA'!$A$3:$A$34,"=581",'ANALITIKA EU PROJEKATA'!$P$3:$P$34,"=422")</f>
        <v>0</v>
      </c>
      <c r="T44" s="138">
        <f>SUMIFS('Plan rashoda za unos u SAP'!$I$3:$I$501,'Plan rashoda za unos u SAP'!$C$3:$C$501,"=61",'Plan rashoda za unos u SAP'!$M$3:$M$501,"=422")+SUMIFS('ANALITIKA EU PROJEKATA'!$G$3:$G$34,'ANALITIKA EU PROJEKATA'!$A$3:$A$34,"=61",'ANALITIKA EU PROJEKATA'!$P$3:$P$34,"=422")</f>
        <v>0</v>
      </c>
      <c r="U44" s="138">
        <f>SUMIFS('Plan rashoda za unos u SAP'!$I$3:$I$501,'Plan rashoda za unos u SAP'!$C$3:$C$501,"=63",'Plan rashoda za unos u SAP'!$M$3:$M$501,"=422")+SUMIFS('ANALITIKA EU PROJEKATA'!$G$3:$G$34,'ANALITIKA EU PROJEKATA'!$A$3:$A$34,"=63",'ANALITIKA EU PROJEKATA'!$P$3:$P$34,"=422")</f>
        <v>0</v>
      </c>
      <c r="V44" s="138">
        <f>SUMIFS('Plan rashoda za unos u SAP'!$I$3:$I$501,'Plan rashoda za unos u SAP'!$C$3:$C$501,"=71",'Plan rashoda za unos u SAP'!$M$3:$M$501,"=422")+SUMIFS('ANALITIKA EU PROJEKATA'!$G$3:$G$34,'ANALITIKA EU PROJEKATA'!$A$3:$A$34,"=71",'ANALITIKA EU PROJEKATA'!$P$3:$P$34,"=422")</f>
        <v>0</v>
      </c>
      <c r="W44" s="138">
        <f>SUMIFS('Plan rashoda za unos u SAP'!$I$3:$I$501,'Plan rashoda za unos u SAP'!$C$3:$C$501,"=81",'Plan rashoda za unos u SAP'!$M$3:$M$501,"=422")+SUMIFS('ANALITIKA EU PROJEKATA'!$G$3:$G$34,'ANALITIKA EU PROJEKATA'!$A$3:$A$34,"=81",'ANALITIKA EU PROJEKATA'!$P$3:$P$34,"=422")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PROJEKATA'!$G$3:$G$34,'ANALITIKA EU PROJEKATA'!$A$3:$A$34,"=11",'ANALITIKA EU PROJEKATA'!$P$3:$P$34,"=423")</f>
        <v>0</v>
      </c>
      <c r="F45" s="138">
        <f>SUMIFS('Plan rashoda za unos u SAP'!$I$3:$I$501,'Plan rashoda za unos u SAP'!$C$3:$C$501,"=12",'Plan rashoda za unos u SAP'!$M$3:$M$501,"=423")+SUMIFS('ANALITIKA EU PROJEKATA'!$G$3:$G$34,'ANALITIKA EU PROJEKATA'!$A$3:$A$34,"=12",'ANALITIKA EU PROJEKATA'!$P$3:$P$34,"=423")</f>
        <v>0</v>
      </c>
      <c r="G45" s="138">
        <f>SUMIFS('Plan rashoda za unos u SAP'!$I$3:$I$501,'Plan rashoda za unos u SAP'!$C$3:$C$501,"=31",'Plan rashoda za unos u SAP'!$M$3:$M$501,"=423")+SUMIFS('ANALITIKA EU PROJEKATA'!$G$3:$G$34,'ANALITIKA EU PROJEKATA'!$A$3:$A$34,"=31",'ANALITIKA EU PROJEKATA'!$P$3:$P$34,"=423")</f>
        <v>0</v>
      </c>
      <c r="H45" s="138">
        <f>SUMIFS('Plan rashoda za unos u SAP'!$I$3:$I$501,'Plan rashoda za unos u SAP'!$C$3:$C$501,"=41",'Plan rashoda za unos u SAP'!$M$3:$M$501,"=423")+SUMIFS('ANALITIKA EU PROJEKATA'!$G$3:$G$34,'ANALITIKA EU PROJEKATA'!$A$3:$A$34,"=41",'ANALITIKA EU PROJEKATA'!$P$3:$P$34,"=423")</f>
        <v>0</v>
      </c>
      <c r="I45" s="138">
        <f>SUMIFS('Plan rashoda za unos u SAP'!$I$3:$I$501,'Plan rashoda za unos u SAP'!$C$3:$C$501,"=43",'Plan rashoda za unos u SAP'!$M$3:$M$501,"=423")+SUMIFS('ANALITIKA EU PROJEKATA'!$G$3:$G$34,'ANALITIKA EU PROJEKATA'!$A$3:$A$34,"=43",'ANALITIKA EU PROJEKATA'!$P$3:$P$34,"=423")</f>
        <v>0</v>
      </c>
      <c r="J45" s="138">
        <f>SUMIFS('Plan rashoda za unos u SAP'!$I$3:$I$501,'Plan rashoda za unos u SAP'!$C$3:$C$501,"=51",'Plan rashoda za unos u SAP'!$M$3:$M$501,"=423")+SUMIFS('ANALITIKA EU PROJEKATA'!$G$3:$G$34,'ANALITIKA EU PROJEKATA'!$A$3:$A$34,"=51",'ANALITIKA EU PROJEKATA'!$P$3:$P$34,"=423")</f>
        <v>0</v>
      </c>
      <c r="K45" s="138">
        <f>SUMIFS('Plan rashoda za unos u SAP'!$I$3:$I$501,'Plan rashoda za unos u SAP'!$C$3:$C$501,"=52",'Plan rashoda za unos u SAP'!$M$3:$M$501,"=423")+SUMIFS('ANALITIKA EU PROJEKATA'!$G$3:$G$34,'ANALITIKA EU PROJEKATA'!$A$3:$A$34,"=52",'ANALITIKA EU PROJEKATA'!$P$3:$P$34,"=423")</f>
        <v>0</v>
      </c>
      <c r="L45" s="138">
        <f>SUMIFS('Plan rashoda za unos u SAP'!$I$3:$I$501,'Plan rashoda za unos u SAP'!$C$3:$C$501,"=552",'Plan rashoda za unos u SAP'!$M$3:$M$501,"=423")+SUMIFS('ANALITIKA EU PROJEKATA'!$G$3:$G$34,'ANALITIKA EU PROJEKATA'!$A$3:$A$34,"=552",'ANALITIKA EU PROJEKATA'!$P$3:$P$34,"=423")</f>
        <v>0</v>
      </c>
      <c r="M45" s="138">
        <f>SUMIFS('Plan rashoda za unos u SAP'!$I$3:$I$501,'Plan rashoda za unos u SAP'!$C$3:$C$501,"=559",'Plan rashoda za unos u SAP'!$M$3:$M$501,"=423")+SUMIFS('ANALITIKA EU PROJEKATA'!$G$3:$G$34,'ANALITIKA EU PROJEKATA'!$A$3:$A$34,"=559",'ANALITIKA EU PROJEKATA'!$P$3:$P$34,"=423")</f>
        <v>0</v>
      </c>
      <c r="N45" s="138">
        <f>SUMIFS('Plan rashoda za unos u SAP'!$I$3:$I$501,'Plan rashoda za unos u SAP'!$C$3:$C$501,"=561",'Plan rashoda za unos u SAP'!$M$3:$M$501,"=423")+SUMIFS('ANALITIKA EU PROJEKATA'!$G$3:$G$34,'ANALITIKA EU PROJEKATA'!$A$3:$A$34,"=561",'ANALITIKA EU PROJEKATA'!$P$3:$P$34,"=423")</f>
        <v>0</v>
      </c>
      <c r="O45" s="138">
        <f>SUMIFS('Plan rashoda za unos u SAP'!$I$3:$I$501,'Plan rashoda za unos u SAP'!$C$3:$C$501,"=563",'Plan rashoda za unos u SAP'!$M$3:$M$501,"=423")+SUMIFS('ANALITIKA EU PROJEKATA'!$G$3:$G$34,'ANALITIKA EU PROJEKATA'!$A$3:$A$34,"=563",'ANALITIKA EU PROJEKATA'!$P$3:$P$34,"=423")</f>
        <v>0</v>
      </c>
      <c r="P45" s="138">
        <f>SUMIFS('Plan rashoda za unos u SAP'!$I$3:$I$501,'Plan rashoda za unos u SAP'!$C$3:$C$501,"=573",'Plan rashoda za unos u SAP'!$M$3:$M$501,"=423")+SUMIFS('ANALITIKA EU PROJEKATA'!$G$3:$G$34,'ANALITIKA EU PROJEKATA'!$A$3:$A$34,"=573",'ANALITIKA EU PROJEKATA'!$P$3:$P$34,"=423")</f>
        <v>0</v>
      </c>
      <c r="Q45" s="138">
        <f>SUMIFS('Plan rashoda za unos u SAP'!$I$3:$I$501,'Plan rashoda za unos u SAP'!$C$3:$C$501,"=575",'Plan rashoda za unos u SAP'!$M$3:$M$501,"=423")+SUMIFS('ANALITIKA EU PROJEKATA'!$G$3:$G$34,'ANALITIKA EU PROJEKATA'!$A$3:$A$34,"=575",'ANALITIKA EU PROJEKATA'!$P$3:$P$34,"=423")</f>
        <v>0</v>
      </c>
      <c r="R45" s="138">
        <f>SUMIFS('Plan rashoda za unos u SAP'!$I$3:$I$501,'Plan rashoda za unos u SAP'!$C$3:$C$501,"=576",'Plan rashoda za unos u SAP'!$M$3:$M$501,"=423")+SUMIFS('ANALITIKA EU PROJEKATA'!$G$3:$G$34,'ANALITIKA EU PROJEKATA'!$A$3:$A$34,"=576",'ANALITIKA EU PROJEKATA'!$P$3:$P$34,"=423")</f>
        <v>0</v>
      </c>
      <c r="S45" s="138">
        <f>SUMIFS('Plan rashoda za unos u SAP'!$I$3:$I$501,'Plan rashoda za unos u SAP'!$C$3:$C$501,"=581",'Plan rashoda za unos u SAP'!$M$3:$M$501,"=423")+SUMIFS('ANALITIKA EU PROJEKATA'!$G$3:$G$34,'ANALITIKA EU PROJEKATA'!$A$3:$A$34,"=581",'ANALITIKA EU PROJEKATA'!$P$3:$P$34,"=423")</f>
        <v>0</v>
      </c>
      <c r="T45" s="138">
        <f>SUMIFS('Plan rashoda za unos u SAP'!$I$3:$I$501,'Plan rashoda za unos u SAP'!$C$3:$C$501,"=61",'Plan rashoda za unos u SAP'!$M$3:$M$501,"=423")+SUMIFS('ANALITIKA EU PROJEKATA'!$G$3:$G$34,'ANALITIKA EU PROJEKATA'!$A$3:$A$34,"=61",'ANALITIKA EU PROJEKATA'!$P$3:$P$34,"=423")</f>
        <v>0</v>
      </c>
      <c r="U45" s="138">
        <f>SUMIFS('Plan rashoda za unos u SAP'!$I$3:$I$501,'Plan rashoda za unos u SAP'!$C$3:$C$501,"=63",'Plan rashoda za unos u SAP'!$M$3:$M$501,"=423")+SUMIFS('ANALITIKA EU PROJEKATA'!$G$3:$G$34,'ANALITIKA EU PROJEKATA'!$A$3:$A$34,"=63",'ANALITIKA EU PROJEKATA'!$P$3:$P$34,"=423")</f>
        <v>0</v>
      </c>
      <c r="V45" s="138">
        <f>SUMIFS('Plan rashoda za unos u SAP'!$I$3:$I$501,'Plan rashoda za unos u SAP'!$C$3:$C$501,"=71",'Plan rashoda za unos u SAP'!$M$3:$M$501,"=423")+SUMIFS('ANALITIKA EU PROJEKATA'!$G$3:$G$34,'ANALITIKA EU PROJEKATA'!$A$3:$A$34,"=71",'ANALITIKA EU PROJEKATA'!$P$3:$P$34,"=423")</f>
        <v>0</v>
      </c>
      <c r="W45" s="138">
        <f>SUMIFS('Plan rashoda za unos u SAP'!$I$3:$I$501,'Plan rashoda za unos u SAP'!$C$3:$C$501,"=81",'Plan rashoda za unos u SAP'!$M$3:$M$501,"=423")+SUMIFS('ANALITIKA EU PROJEKATA'!$G$3:$G$34,'ANALITIKA EU PROJEKATA'!$A$3:$A$34,"=81",'ANALITIKA EU PROJEKATA'!$P$3:$P$34,"=423")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10000</v>
      </c>
      <c r="E46" s="138">
        <f>SUMIFS('Plan rashoda za unos u SAP'!$I$3:$I$501,'Plan rashoda za unos u SAP'!$C$3:$C$501,"=11",'Plan rashoda za unos u SAP'!$M$3:$M$501,"=424")+SUMIFS('ANALITIKA EU PROJEKATA'!$G$3:$G$34,'ANALITIKA EU PROJEKATA'!$A$3:$A$34,"=11",'ANALITIKA EU PROJEKATA'!$P$3:$P$34,"=424")</f>
        <v>0</v>
      </c>
      <c r="F46" s="138">
        <f>SUMIFS('Plan rashoda za unos u SAP'!$I$3:$I$501,'Plan rashoda za unos u SAP'!$C$3:$C$501,"=12",'Plan rashoda za unos u SAP'!$M$3:$M$501,"=424")+SUMIFS('ANALITIKA EU PROJEKATA'!$G$3:$G$34,'ANALITIKA EU PROJEKATA'!$A$3:$A$34,"=12",'ANALITIKA EU PROJEKATA'!$P$3:$P$34,"=424")</f>
        <v>0</v>
      </c>
      <c r="G46" s="138">
        <f>SUMIFS('Plan rashoda za unos u SAP'!$I$3:$I$501,'Plan rashoda za unos u SAP'!$C$3:$C$501,"=31",'Plan rashoda za unos u SAP'!$M$3:$M$501,"=424")+SUMIFS('ANALITIKA EU PROJEKATA'!$G$3:$G$34,'ANALITIKA EU PROJEKATA'!$A$3:$A$34,"=31",'ANALITIKA EU PROJEKATA'!$P$3:$P$34,"=424")</f>
        <v>0</v>
      </c>
      <c r="H46" s="138">
        <f>SUMIFS('Plan rashoda za unos u SAP'!$I$3:$I$501,'Plan rashoda za unos u SAP'!$C$3:$C$501,"=41",'Plan rashoda za unos u SAP'!$M$3:$M$501,"=424")+SUMIFS('ANALITIKA EU PROJEKATA'!$G$3:$G$34,'ANALITIKA EU PROJEKATA'!$A$3:$A$34,"=41",'ANALITIKA EU PROJEKATA'!$P$3:$P$34,"=424")</f>
        <v>0</v>
      </c>
      <c r="I46" s="138">
        <f>SUMIFS('Plan rashoda za unos u SAP'!$I$3:$I$501,'Plan rashoda za unos u SAP'!$C$3:$C$501,"=43",'Plan rashoda za unos u SAP'!$M$3:$M$501,"=424")+SUMIFS('ANALITIKA EU PROJEKATA'!$G$3:$G$34,'ANALITIKA EU PROJEKATA'!$A$3:$A$34,"=43",'ANALITIKA EU PROJEKATA'!$P$3:$P$34,"=424")</f>
        <v>10000</v>
      </c>
      <c r="J46" s="138">
        <f>SUMIFS('Plan rashoda za unos u SAP'!$I$3:$I$501,'Plan rashoda za unos u SAP'!$C$3:$C$501,"=51",'Plan rashoda za unos u SAP'!$M$3:$M$501,"=424")+SUMIFS('ANALITIKA EU PROJEKATA'!$G$3:$G$34,'ANALITIKA EU PROJEKATA'!$A$3:$A$34,"=51",'ANALITIKA EU PROJEKATA'!$P$3:$P$34,"=424")</f>
        <v>0</v>
      </c>
      <c r="K46" s="138">
        <f>SUMIFS('Plan rashoda za unos u SAP'!$I$3:$I$501,'Plan rashoda za unos u SAP'!$C$3:$C$501,"=52",'Plan rashoda za unos u SAP'!$M$3:$M$501,"=424")+SUMIFS('ANALITIKA EU PROJEKATA'!$G$3:$G$34,'ANALITIKA EU PROJEKATA'!$A$3:$A$34,"=52",'ANALITIKA EU PROJEKATA'!$P$3:$P$34,"=424")</f>
        <v>0</v>
      </c>
      <c r="L46" s="138">
        <f>SUMIFS('Plan rashoda za unos u SAP'!$I$3:$I$501,'Plan rashoda za unos u SAP'!$C$3:$C$501,"=552",'Plan rashoda za unos u SAP'!$M$3:$M$501,"=424")+SUMIFS('ANALITIKA EU PROJEKATA'!$G$3:$G$34,'ANALITIKA EU PROJEKATA'!$A$3:$A$34,"=552",'ANALITIKA EU PROJEKATA'!$P$3:$P$34,"=424")</f>
        <v>0</v>
      </c>
      <c r="M46" s="138">
        <f>SUMIFS('Plan rashoda za unos u SAP'!$I$3:$I$501,'Plan rashoda za unos u SAP'!$C$3:$C$501,"=559",'Plan rashoda za unos u SAP'!$M$3:$M$501,"=424")+SUMIFS('ANALITIKA EU PROJEKATA'!$G$3:$G$34,'ANALITIKA EU PROJEKATA'!$A$3:$A$34,"=559",'ANALITIKA EU PROJEKATA'!$P$3:$P$34,"=424")</f>
        <v>0</v>
      </c>
      <c r="N46" s="138">
        <f>SUMIFS('Plan rashoda za unos u SAP'!$I$3:$I$501,'Plan rashoda za unos u SAP'!$C$3:$C$501,"=561",'Plan rashoda za unos u SAP'!$M$3:$M$501,"=424")+SUMIFS('ANALITIKA EU PROJEKATA'!$G$3:$G$34,'ANALITIKA EU PROJEKATA'!$A$3:$A$34,"=561",'ANALITIKA EU PROJEKATA'!$P$3:$P$34,"=424")</f>
        <v>0</v>
      </c>
      <c r="O46" s="138">
        <f>SUMIFS('Plan rashoda za unos u SAP'!$I$3:$I$501,'Plan rashoda za unos u SAP'!$C$3:$C$501,"=563",'Plan rashoda za unos u SAP'!$M$3:$M$501,"=424")+SUMIFS('ANALITIKA EU PROJEKATA'!$G$3:$G$34,'ANALITIKA EU PROJEKATA'!$A$3:$A$34,"=563",'ANALITIKA EU PROJEKATA'!$P$3:$P$34,"=424")</f>
        <v>0</v>
      </c>
      <c r="P46" s="138">
        <f>SUMIFS('Plan rashoda za unos u SAP'!$I$3:$I$501,'Plan rashoda za unos u SAP'!$C$3:$C$501,"=573",'Plan rashoda za unos u SAP'!$M$3:$M$501,"=424")+SUMIFS('ANALITIKA EU PROJEKATA'!$G$3:$G$34,'ANALITIKA EU PROJEKATA'!$A$3:$A$34,"=573",'ANALITIKA EU PROJEKATA'!$P$3:$P$34,"=424")</f>
        <v>0</v>
      </c>
      <c r="Q46" s="138">
        <f>SUMIFS('Plan rashoda za unos u SAP'!$I$3:$I$501,'Plan rashoda za unos u SAP'!$C$3:$C$501,"=575",'Plan rashoda za unos u SAP'!$M$3:$M$501,"=424")+SUMIFS('ANALITIKA EU PROJEKATA'!$G$3:$G$34,'ANALITIKA EU PROJEKATA'!$A$3:$A$34,"=575",'ANALITIKA EU PROJEKATA'!$P$3:$P$34,"=424")</f>
        <v>0</v>
      </c>
      <c r="R46" s="138">
        <f>SUMIFS('Plan rashoda za unos u SAP'!$I$3:$I$501,'Plan rashoda za unos u SAP'!$C$3:$C$501,"=576",'Plan rashoda za unos u SAP'!$M$3:$M$501,"=424")+SUMIFS('ANALITIKA EU PROJEKATA'!$G$3:$G$34,'ANALITIKA EU PROJEKATA'!$A$3:$A$34,"=576",'ANALITIKA EU PROJEKATA'!$P$3:$P$34,"=424")</f>
        <v>0</v>
      </c>
      <c r="S46" s="138">
        <f>SUMIFS('Plan rashoda za unos u SAP'!$I$3:$I$501,'Plan rashoda za unos u SAP'!$C$3:$C$501,"=581",'Plan rashoda za unos u SAP'!$M$3:$M$501,"=424")+SUMIFS('ANALITIKA EU PROJEKATA'!$G$3:$G$34,'ANALITIKA EU PROJEKATA'!$A$3:$A$34,"=581",'ANALITIKA EU PROJEKATA'!$P$3:$P$34,"=424")</f>
        <v>0</v>
      </c>
      <c r="T46" s="138">
        <f>SUMIFS('Plan rashoda za unos u SAP'!$I$3:$I$501,'Plan rashoda za unos u SAP'!$C$3:$C$501,"=61",'Plan rashoda za unos u SAP'!$M$3:$M$501,"=424")+SUMIFS('ANALITIKA EU PROJEKATA'!$G$3:$G$34,'ANALITIKA EU PROJEKATA'!$A$3:$A$34,"=61",'ANALITIKA EU PROJEKATA'!$P$3:$P$34,"=424")</f>
        <v>0</v>
      </c>
      <c r="U46" s="138">
        <f>SUMIFS('Plan rashoda za unos u SAP'!$I$3:$I$501,'Plan rashoda za unos u SAP'!$C$3:$C$501,"=63",'Plan rashoda za unos u SAP'!$M$3:$M$501,"=424")+SUMIFS('ANALITIKA EU PROJEKATA'!$G$3:$G$34,'ANALITIKA EU PROJEKATA'!$A$3:$A$34,"=63",'ANALITIKA EU PROJEKATA'!$P$3:$P$34,"=424")</f>
        <v>0</v>
      </c>
      <c r="V46" s="138">
        <f>SUMIFS('Plan rashoda za unos u SAP'!$I$3:$I$501,'Plan rashoda za unos u SAP'!$C$3:$C$501,"=71",'Plan rashoda za unos u SAP'!$M$3:$M$501,"=424")+SUMIFS('ANALITIKA EU PROJEKATA'!$G$3:$G$34,'ANALITIKA EU PROJEKATA'!$A$3:$A$34,"=71",'ANALITIKA EU PROJEKATA'!$P$3:$P$34,"=424")</f>
        <v>0</v>
      </c>
      <c r="W46" s="138">
        <f>SUMIFS('Plan rashoda za unos u SAP'!$I$3:$I$501,'Plan rashoda za unos u SAP'!$C$3:$C$501,"=81",'Plan rashoda za unos u SAP'!$M$3:$M$501,"=424")+SUMIFS('ANALITIKA EU PROJEKATA'!$G$3:$G$34,'ANALITIKA EU PROJEKATA'!$A$3:$A$34,"=81",'ANALITIKA EU PROJEKATA'!$P$3:$P$34,"=424")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PROJEKATA'!$G$3:$G$34,'ANALITIKA EU PROJEKATA'!$A$3:$A$34,"=11",'ANALITIKA EU PROJEKATA'!$P$3:$P$34,"=425")</f>
        <v>0</v>
      </c>
      <c r="F47" s="138">
        <f>SUMIFS('Plan rashoda za unos u SAP'!$I$3:$I$501,'Plan rashoda za unos u SAP'!$C$3:$C$501,"=12",'Plan rashoda za unos u SAP'!$M$3:$M$501,"=425")+SUMIFS('ANALITIKA EU PROJEKATA'!$G$3:$G$34,'ANALITIKA EU PROJEKATA'!$A$3:$A$34,"=12",'ANALITIKA EU PROJEKATA'!$P$3:$P$34,"=425")</f>
        <v>0</v>
      </c>
      <c r="G47" s="138">
        <f>SUMIFS('Plan rashoda za unos u SAP'!$I$3:$I$501,'Plan rashoda za unos u SAP'!$C$3:$C$501,"=31",'Plan rashoda za unos u SAP'!$M$3:$M$501,"=425")+SUMIFS('ANALITIKA EU PROJEKATA'!$G$3:$G$34,'ANALITIKA EU PROJEKATA'!$A$3:$A$34,"=31",'ANALITIKA EU PROJEKATA'!$P$3:$P$34,"=425")</f>
        <v>0</v>
      </c>
      <c r="H47" s="138">
        <f>SUMIFS('Plan rashoda za unos u SAP'!$I$3:$I$501,'Plan rashoda za unos u SAP'!$C$3:$C$501,"=41",'Plan rashoda za unos u SAP'!$M$3:$M$501,"=425")+SUMIFS('ANALITIKA EU PROJEKATA'!$G$3:$G$34,'ANALITIKA EU PROJEKATA'!$A$3:$A$34,"=41",'ANALITIKA EU PROJEKATA'!$P$3:$P$34,"=425")</f>
        <v>0</v>
      </c>
      <c r="I47" s="138">
        <f>SUMIFS('Plan rashoda za unos u SAP'!$I$3:$I$501,'Plan rashoda za unos u SAP'!$C$3:$C$501,"=43",'Plan rashoda za unos u SAP'!$M$3:$M$501,"=425")+SUMIFS('ANALITIKA EU PROJEKATA'!$G$3:$G$34,'ANALITIKA EU PROJEKATA'!$A$3:$A$34,"=43",'ANALITIKA EU PROJEKATA'!$P$3:$P$34,"=425")</f>
        <v>0</v>
      </c>
      <c r="J47" s="138">
        <f>SUMIFS('Plan rashoda za unos u SAP'!$I$3:$I$501,'Plan rashoda za unos u SAP'!$C$3:$C$501,"=51",'Plan rashoda za unos u SAP'!$M$3:$M$501,"=425")+SUMIFS('ANALITIKA EU PROJEKATA'!$G$3:$G$34,'ANALITIKA EU PROJEKATA'!$A$3:$A$34,"=51",'ANALITIKA EU PROJEKATA'!$P$3:$P$34,"=425")</f>
        <v>0</v>
      </c>
      <c r="K47" s="138">
        <f>SUMIFS('Plan rashoda za unos u SAP'!$I$3:$I$501,'Plan rashoda za unos u SAP'!$C$3:$C$501,"=52",'Plan rashoda za unos u SAP'!$M$3:$M$501,"=425")+SUMIFS('ANALITIKA EU PROJEKATA'!$G$3:$G$34,'ANALITIKA EU PROJEKATA'!$A$3:$A$34,"=52",'ANALITIKA EU PROJEKATA'!$P$3:$P$34,"=425")</f>
        <v>0</v>
      </c>
      <c r="L47" s="138">
        <f>SUMIFS('Plan rashoda za unos u SAP'!$I$3:$I$501,'Plan rashoda za unos u SAP'!$C$3:$C$501,"=552",'Plan rashoda za unos u SAP'!$M$3:$M$501,"=425")+SUMIFS('ANALITIKA EU PROJEKATA'!$G$3:$G$34,'ANALITIKA EU PROJEKATA'!$A$3:$A$34,"=552",'ANALITIKA EU PROJEKATA'!$P$3:$P$34,"=425")</f>
        <v>0</v>
      </c>
      <c r="M47" s="138">
        <f>SUMIFS('Plan rashoda za unos u SAP'!$I$3:$I$501,'Plan rashoda za unos u SAP'!$C$3:$C$501,"=559",'Plan rashoda za unos u SAP'!$M$3:$M$501,"=425")+SUMIFS('ANALITIKA EU PROJEKATA'!$G$3:$G$34,'ANALITIKA EU PROJEKATA'!$A$3:$A$34,"=559",'ANALITIKA EU PROJEKATA'!$P$3:$P$34,"=425")</f>
        <v>0</v>
      </c>
      <c r="N47" s="138">
        <f>SUMIFS('Plan rashoda za unos u SAP'!$I$3:$I$501,'Plan rashoda za unos u SAP'!$C$3:$C$501,"=561",'Plan rashoda za unos u SAP'!$M$3:$M$501,"=425")+SUMIFS('ANALITIKA EU PROJEKATA'!$G$3:$G$34,'ANALITIKA EU PROJEKATA'!$A$3:$A$34,"=561",'ANALITIKA EU PROJEKATA'!$P$3:$P$34,"=425")</f>
        <v>0</v>
      </c>
      <c r="O47" s="138">
        <f>SUMIFS('Plan rashoda za unos u SAP'!$I$3:$I$501,'Plan rashoda za unos u SAP'!$C$3:$C$501,"=563",'Plan rashoda za unos u SAP'!$M$3:$M$501,"=425")+SUMIFS('ANALITIKA EU PROJEKATA'!$G$3:$G$34,'ANALITIKA EU PROJEKATA'!$A$3:$A$34,"=563",'ANALITIKA EU PROJEKATA'!$P$3:$P$34,"=425")</f>
        <v>0</v>
      </c>
      <c r="P47" s="138">
        <f>SUMIFS('Plan rashoda za unos u SAP'!$I$3:$I$501,'Plan rashoda za unos u SAP'!$C$3:$C$501,"=573",'Plan rashoda za unos u SAP'!$M$3:$M$501,"=425")+SUMIFS('ANALITIKA EU PROJEKATA'!$G$3:$G$34,'ANALITIKA EU PROJEKATA'!$A$3:$A$34,"=573",'ANALITIKA EU PROJEKATA'!$P$3:$P$34,"=425")</f>
        <v>0</v>
      </c>
      <c r="Q47" s="138">
        <f>SUMIFS('Plan rashoda za unos u SAP'!$I$3:$I$501,'Plan rashoda za unos u SAP'!$C$3:$C$501,"=575",'Plan rashoda za unos u SAP'!$M$3:$M$501,"=425")+SUMIFS('ANALITIKA EU PROJEKATA'!$G$3:$G$34,'ANALITIKA EU PROJEKATA'!$A$3:$A$34,"=575",'ANALITIKA EU PROJEKATA'!$P$3:$P$34,"=425")</f>
        <v>0</v>
      </c>
      <c r="R47" s="138">
        <f>SUMIFS('Plan rashoda za unos u SAP'!$I$3:$I$501,'Plan rashoda za unos u SAP'!$C$3:$C$501,"=576",'Plan rashoda za unos u SAP'!$M$3:$M$501,"=425")+SUMIFS('ANALITIKA EU PROJEKATA'!$G$3:$G$34,'ANALITIKA EU PROJEKATA'!$A$3:$A$34,"=576",'ANALITIKA EU PROJEKATA'!$P$3:$P$34,"=425")</f>
        <v>0</v>
      </c>
      <c r="S47" s="138">
        <f>SUMIFS('Plan rashoda za unos u SAP'!$I$3:$I$501,'Plan rashoda za unos u SAP'!$C$3:$C$501,"=581",'Plan rashoda za unos u SAP'!$M$3:$M$501,"=425")+SUMIFS('ANALITIKA EU PROJEKATA'!$G$3:$G$34,'ANALITIKA EU PROJEKATA'!$A$3:$A$34,"=581",'ANALITIKA EU PROJEKATA'!$P$3:$P$34,"=425")</f>
        <v>0</v>
      </c>
      <c r="T47" s="138">
        <f>SUMIFS('Plan rashoda za unos u SAP'!$I$3:$I$501,'Plan rashoda za unos u SAP'!$C$3:$C$501,"=61",'Plan rashoda za unos u SAP'!$M$3:$M$501,"=425")+SUMIFS('ANALITIKA EU PROJEKATA'!$G$3:$G$34,'ANALITIKA EU PROJEKATA'!$A$3:$A$34,"=61",'ANALITIKA EU PROJEKATA'!$P$3:$P$34,"=425")</f>
        <v>0</v>
      </c>
      <c r="U47" s="138">
        <f>SUMIFS('Plan rashoda za unos u SAP'!$I$3:$I$501,'Plan rashoda za unos u SAP'!$C$3:$C$501,"=63",'Plan rashoda za unos u SAP'!$M$3:$M$501,"=425")+SUMIFS('ANALITIKA EU PROJEKATA'!$G$3:$G$34,'ANALITIKA EU PROJEKATA'!$A$3:$A$34,"=63",'ANALITIKA EU PROJEKATA'!$P$3:$P$34,"=425")</f>
        <v>0</v>
      </c>
      <c r="V47" s="138">
        <f>SUMIFS('Plan rashoda za unos u SAP'!$I$3:$I$501,'Plan rashoda za unos u SAP'!$C$3:$C$501,"=71",'Plan rashoda za unos u SAP'!$M$3:$M$501,"=425")+SUMIFS('ANALITIKA EU PROJEKATA'!$G$3:$G$34,'ANALITIKA EU PROJEKATA'!$A$3:$A$34,"=71",'ANALITIKA EU PROJEKATA'!$P$3:$P$34,"=425")</f>
        <v>0</v>
      </c>
      <c r="W47" s="138">
        <f>SUMIFS('Plan rashoda za unos u SAP'!$I$3:$I$501,'Plan rashoda za unos u SAP'!$C$3:$C$501,"=81",'Plan rashoda za unos u SAP'!$M$3:$M$501,"=425")+SUMIFS('ANALITIKA EU PROJEKATA'!$G$3:$G$34,'ANALITIKA EU PROJEKATA'!$A$3:$A$34,"=81",'ANALITIKA EU PROJEKATA'!$P$3:$P$34,"=425")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PROJEKATA'!$G$3:$G$34,'ANALITIKA EU PROJEKATA'!$A$3:$A$34,"=11",'ANALITIKA EU PROJEKATA'!$P$3:$P$34,"=426")</f>
        <v>0</v>
      </c>
      <c r="F48" s="138">
        <f>SUMIFS('Plan rashoda za unos u SAP'!$I$3:$I$501,'Plan rashoda za unos u SAP'!$C$3:$C$501,"=12",'Plan rashoda za unos u SAP'!$M$3:$M$501,"=426")+SUMIFS('ANALITIKA EU PROJEKATA'!$G$3:$G$34,'ANALITIKA EU PROJEKATA'!$A$3:$A$34,"=12",'ANALITIKA EU PROJEKATA'!$P$3:$P$34,"=426")</f>
        <v>0</v>
      </c>
      <c r="G48" s="138">
        <f>SUMIFS('Plan rashoda za unos u SAP'!$I$3:$I$501,'Plan rashoda za unos u SAP'!$C$3:$C$501,"=31",'Plan rashoda za unos u SAP'!$M$3:$M$501,"=426")+SUMIFS('ANALITIKA EU PROJEKATA'!$G$3:$G$34,'ANALITIKA EU PROJEKATA'!$A$3:$A$34,"=31",'ANALITIKA EU PROJEKATA'!$P$3:$P$34,"=426")</f>
        <v>0</v>
      </c>
      <c r="H48" s="138">
        <f>SUMIFS('Plan rashoda za unos u SAP'!$I$3:$I$501,'Plan rashoda za unos u SAP'!$C$3:$C$501,"=41",'Plan rashoda za unos u SAP'!$M$3:$M$501,"=426")+SUMIFS('ANALITIKA EU PROJEKATA'!$G$3:$G$34,'ANALITIKA EU PROJEKATA'!$A$3:$A$34,"=41",'ANALITIKA EU PROJEKATA'!$P$3:$P$34,"=426")</f>
        <v>0</v>
      </c>
      <c r="I48" s="138">
        <f>SUMIFS('Plan rashoda za unos u SAP'!$I$3:$I$501,'Plan rashoda za unos u SAP'!$C$3:$C$501,"=43",'Plan rashoda za unos u SAP'!$M$3:$M$501,"=426")+SUMIFS('ANALITIKA EU PROJEKATA'!$G$3:$G$34,'ANALITIKA EU PROJEKATA'!$A$3:$A$34,"=43",'ANALITIKA EU PROJEKATA'!$P$3:$P$34,"=426")</f>
        <v>0</v>
      </c>
      <c r="J48" s="138">
        <f>SUMIFS('Plan rashoda za unos u SAP'!$I$3:$I$501,'Plan rashoda za unos u SAP'!$C$3:$C$501,"=51",'Plan rashoda za unos u SAP'!$M$3:$M$501,"=426")+SUMIFS('ANALITIKA EU PROJEKATA'!$G$3:$G$34,'ANALITIKA EU PROJEKATA'!$A$3:$A$34,"=51",'ANALITIKA EU PROJEKATA'!$P$3:$P$34,"=426")</f>
        <v>0</v>
      </c>
      <c r="K48" s="138">
        <f>SUMIFS('Plan rashoda za unos u SAP'!$I$3:$I$501,'Plan rashoda za unos u SAP'!$C$3:$C$501,"=52",'Plan rashoda za unos u SAP'!$M$3:$M$501,"=426")+SUMIFS('ANALITIKA EU PROJEKATA'!$G$3:$G$34,'ANALITIKA EU PROJEKATA'!$A$3:$A$34,"=52",'ANALITIKA EU PROJEKATA'!$P$3:$P$34,"=426")</f>
        <v>0</v>
      </c>
      <c r="L48" s="138">
        <f>SUMIFS('Plan rashoda za unos u SAP'!$I$3:$I$501,'Plan rashoda za unos u SAP'!$C$3:$C$501,"=552",'Plan rashoda za unos u SAP'!$M$3:$M$501,"=426")+SUMIFS('ANALITIKA EU PROJEKATA'!$G$3:$G$34,'ANALITIKA EU PROJEKATA'!$A$3:$A$34,"=552",'ANALITIKA EU PROJEKATA'!$P$3:$P$34,"=426")</f>
        <v>0</v>
      </c>
      <c r="M48" s="138">
        <f>SUMIFS('Plan rashoda za unos u SAP'!$I$3:$I$501,'Plan rashoda za unos u SAP'!$C$3:$C$501,"=559",'Plan rashoda za unos u SAP'!$M$3:$M$501,"=426")+SUMIFS('ANALITIKA EU PROJEKATA'!$G$3:$G$34,'ANALITIKA EU PROJEKATA'!$A$3:$A$34,"=559",'ANALITIKA EU PROJEKATA'!$P$3:$P$34,"=426")</f>
        <v>0</v>
      </c>
      <c r="N48" s="138">
        <f>SUMIFS('Plan rashoda za unos u SAP'!$I$3:$I$501,'Plan rashoda za unos u SAP'!$C$3:$C$501,"=561",'Plan rashoda za unos u SAP'!$M$3:$M$501,"=426")+SUMIFS('ANALITIKA EU PROJEKATA'!$G$3:$G$34,'ANALITIKA EU PROJEKATA'!$A$3:$A$34,"=561",'ANALITIKA EU PROJEKATA'!$P$3:$P$34,"=426")</f>
        <v>0</v>
      </c>
      <c r="O48" s="138">
        <f>SUMIFS('Plan rashoda za unos u SAP'!$I$3:$I$501,'Plan rashoda za unos u SAP'!$C$3:$C$501,"=563",'Plan rashoda za unos u SAP'!$M$3:$M$501,"=426")+SUMIFS('ANALITIKA EU PROJEKATA'!$G$3:$G$34,'ANALITIKA EU PROJEKATA'!$A$3:$A$34,"=563",'ANALITIKA EU PROJEKATA'!$P$3:$P$34,"=426")</f>
        <v>0</v>
      </c>
      <c r="P48" s="138">
        <f>SUMIFS('Plan rashoda za unos u SAP'!$I$3:$I$501,'Plan rashoda za unos u SAP'!$C$3:$C$501,"=573",'Plan rashoda za unos u SAP'!$M$3:$M$501,"=426")+SUMIFS('ANALITIKA EU PROJEKATA'!$G$3:$G$34,'ANALITIKA EU PROJEKATA'!$A$3:$A$34,"=573",'ANALITIKA EU PROJEKATA'!$P$3:$P$34,"=426")</f>
        <v>0</v>
      </c>
      <c r="Q48" s="138">
        <f>SUMIFS('Plan rashoda za unos u SAP'!$I$3:$I$501,'Plan rashoda za unos u SAP'!$C$3:$C$501,"=575",'Plan rashoda za unos u SAP'!$M$3:$M$501,"=426")+SUMIFS('ANALITIKA EU PROJEKATA'!$G$3:$G$34,'ANALITIKA EU PROJEKATA'!$A$3:$A$34,"=575",'ANALITIKA EU PROJEKATA'!$P$3:$P$34,"=426")</f>
        <v>0</v>
      </c>
      <c r="R48" s="138">
        <f>SUMIFS('Plan rashoda za unos u SAP'!$I$3:$I$501,'Plan rashoda za unos u SAP'!$C$3:$C$501,"=576",'Plan rashoda za unos u SAP'!$M$3:$M$501,"=426")+SUMIFS('ANALITIKA EU PROJEKATA'!$G$3:$G$34,'ANALITIKA EU PROJEKATA'!$A$3:$A$34,"=576",'ANALITIKA EU PROJEKATA'!$P$3:$P$34,"=426")</f>
        <v>0</v>
      </c>
      <c r="S48" s="138">
        <f>SUMIFS('Plan rashoda za unos u SAP'!$I$3:$I$501,'Plan rashoda za unos u SAP'!$C$3:$C$501,"=581",'Plan rashoda za unos u SAP'!$M$3:$M$501,"=426")+SUMIFS('ANALITIKA EU PROJEKATA'!$G$3:$G$34,'ANALITIKA EU PROJEKATA'!$A$3:$A$34,"=581",'ANALITIKA EU PROJEKATA'!$P$3:$P$34,"=426")</f>
        <v>0</v>
      </c>
      <c r="T48" s="138">
        <f>SUMIFS('Plan rashoda za unos u SAP'!$I$3:$I$501,'Plan rashoda za unos u SAP'!$C$3:$C$501,"=61",'Plan rashoda za unos u SAP'!$M$3:$M$501,"=426")+SUMIFS('ANALITIKA EU PROJEKATA'!$G$3:$G$34,'ANALITIKA EU PROJEKATA'!$A$3:$A$34,"=61",'ANALITIKA EU PROJEKATA'!$P$3:$P$34,"=426")</f>
        <v>0</v>
      </c>
      <c r="U48" s="138">
        <f>SUMIFS('Plan rashoda za unos u SAP'!$I$3:$I$501,'Plan rashoda za unos u SAP'!$C$3:$C$501,"=63",'Plan rashoda za unos u SAP'!$M$3:$M$501,"=426")+SUMIFS('ANALITIKA EU PROJEKATA'!$G$3:$G$34,'ANALITIKA EU PROJEKATA'!$A$3:$A$34,"=63",'ANALITIKA EU PROJEKATA'!$P$3:$P$34,"=426")</f>
        <v>0</v>
      </c>
      <c r="V48" s="138">
        <f>SUMIFS('Plan rashoda za unos u SAP'!$I$3:$I$501,'Plan rashoda za unos u SAP'!$C$3:$C$501,"=71",'Plan rashoda za unos u SAP'!$M$3:$M$501,"=426")+SUMIFS('ANALITIKA EU PROJEKATA'!$G$3:$G$34,'ANALITIKA EU PROJEKATA'!$A$3:$A$34,"=71",'ANALITIKA EU PROJEKATA'!$P$3:$P$34,"=426")</f>
        <v>0</v>
      </c>
      <c r="W48" s="138">
        <f>SUMIFS('Plan rashoda za unos u SAP'!$I$3:$I$501,'Plan rashoda za unos u SAP'!$C$3:$C$501,"=81",'Plan rashoda za unos u SAP'!$M$3:$M$501,"=426")+SUMIFS('ANALITIKA EU PROJEKATA'!$G$3:$G$34,'ANALITIKA EU PROJEKATA'!$A$3:$A$34,"=81",'ANALITIKA EU PROJEKATA'!$P$3:$P$34,"=426")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PROJEKATA'!$G$3:$G$34,'ANALITIKA EU PROJEKATA'!$A$3:$A$34,"=11",'ANALITIKA EU PROJEKATA'!$P$3:$P$34,"=431")</f>
        <v>0</v>
      </c>
      <c r="F50" s="138">
        <f>SUMIFS('Plan rashoda za unos u SAP'!$I$3:$I$501,'Plan rashoda za unos u SAP'!$C$3:$C$501,"=12",'Plan rashoda za unos u SAP'!$M$3:$M$501,"=431")+SUMIFS('ANALITIKA EU PROJEKATA'!$G$3:$G$34,'ANALITIKA EU PROJEKATA'!$A$3:$A$34,"=12",'ANALITIKA EU PROJEKATA'!$P$3:$P$34,"=431")</f>
        <v>0</v>
      </c>
      <c r="G50" s="138">
        <f>SUMIFS('Plan rashoda za unos u SAP'!$I$3:$I$501,'Plan rashoda za unos u SAP'!$C$3:$C$501,"=31",'Plan rashoda za unos u SAP'!$M$3:$M$501,"=431")+SUMIFS('ANALITIKA EU PROJEKATA'!$G$3:$G$34,'ANALITIKA EU PROJEKATA'!$A$3:$A$34,"=31",'ANALITIKA EU PROJEKATA'!$P$3:$P$34,"=431")</f>
        <v>0</v>
      </c>
      <c r="H50" s="138">
        <f>SUMIFS('Plan rashoda za unos u SAP'!$I$3:$I$501,'Plan rashoda za unos u SAP'!$C$3:$C$501,"=41",'Plan rashoda za unos u SAP'!$M$3:$M$501,"=431")+SUMIFS('ANALITIKA EU PROJEKATA'!$G$3:$G$34,'ANALITIKA EU PROJEKATA'!$A$3:$A$34,"=41",'ANALITIKA EU PROJEKATA'!$P$3:$P$34,"=431")</f>
        <v>0</v>
      </c>
      <c r="I50" s="138">
        <f>SUMIFS('Plan rashoda za unos u SAP'!$I$3:$I$501,'Plan rashoda za unos u SAP'!$C$3:$C$501,"=43",'Plan rashoda za unos u SAP'!$M$3:$M$501,"=431")+SUMIFS('ANALITIKA EU PROJEKATA'!$G$3:$G$34,'ANALITIKA EU PROJEKATA'!$A$3:$A$34,"=43",'ANALITIKA EU PROJEKATA'!$P$3:$P$34,"=431")</f>
        <v>0</v>
      </c>
      <c r="J50" s="138">
        <f>SUMIFS('Plan rashoda za unos u SAP'!$I$3:$I$501,'Plan rashoda za unos u SAP'!$C$3:$C$501,"=51",'Plan rashoda za unos u SAP'!$M$3:$M$501,"=431")+SUMIFS('ANALITIKA EU PROJEKATA'!$G$3:$G$34,'ANALITIKA EU PROJEKATA'!$A$3:$A$34,"=51",'ANALITIKA EU PROJEKATA'!$P$3:$P$34,"=431")</f>
        <v>0</v>
      </c>
      <c r="K50" s="138">
        <f>SUMIFS('Plan rashoda za unos u SAP'!$I$3:$I$501,'Plan rashoda za unos u SAP'!$C$3:$C$501,"=52",'Plan rashoda za unos u SAP'!$M$3:$M$501,"=431")+SUMIFS('ANALITIKA EU PROJEKATA'!$G$3:$G$34,'ANALITIKA EU PROJEKATA'!$A$3:$A$34,"=52",'ANALITIKA EU PROJEKATA'!$P$3:$P$34,"=431")</f>
        <v>0</v>
      </c>
      <c r="L50" s="138">
        <f>SUMIFS('Plan rashoda za unos u SAP'!$I$3:$I$501,'Plan rashoda za unos u SAP'!$C$3:$C$501,"=552",'Plan rashoda za unos u SAP'!$M$3:$M$501,"=431")+SUMIFS('ANALITIKA EU PROJEKATA'!$G$3:$G$34,'ANALITIKA EU PROJEKATA'!$A$3:$A$34,"=552",'ANALITIKA EU PROJEKATA'!$P$3:$P$34,"=431")</f>
        <v>0</v>
      </c>
      <c r="M50" s="138">
        <f>SUMIFS('Plan rashoda za unos u SAP'!$I$3:$I$501,'Plan rashoda za unos u SAP'!$C$3:$C$501,"=559",'Plan rashoda za unos u SAP'!$M$3:$M$501,"=431")+SUMIFS('ANALITIKA EU PROJEKATA'!$G$3:$G$34,'ANALITIKA EU PROJEKATA'!$A$3:$A$34,"=559",'ANALITIKA EU PROJEKATA'!$P$3:$P$34,"=431")</f>
        <v>0</v>
      </c>
      <c r="N50" s="138">
        <f>SUMIFS('Plan rashoda za unos u SAP'!$I$3:$I$501,'Plan rashoda za unos u SAP'!$C$3:$C$501,"=561",'Plan rashoda za unos u SAP'!$M$3:$M$501,"=431")+SUMIFS('ANALITIKA EU PROJEKATA'!$G$3:$G$34,'ANALITIKA EU PROJEKATA'!$A$3:$A$34,"=561",'ANALITIKA EU PROJEKATA'!$P$3:$P$34,"=431")</f>
        <v>0</v>
      </c>
      <c r="O50" s="138">
        <f>SUMIFS('Plan rashoda za unos u SAP'!$I$3:$I$501,'Plan rashoda za unos u SAP'!$C$3:$C$501,"=563",'Plan rashoda za unos u SAP'!$M$3:$M$501,"=431")+SUMIFS('ANALITIKA EU PROJEKATA'!$G$3:$G$34,'ANALITIKA EU PROJEKATA'!$A$3:$A$34,"=563",'ANALITIKA EU PROJEKATA'!$P$3:$P$34,"=431")</f>
        <v>0</v>
      </c>
      <c r="P50" s="138">
        <f>SUMIFS('Plan rashoda za unos u SAP'!$I$3:$I$501,'Plan rashoda za unos u SAP'!$C$3:$C$501,"=573",'Plan rashoda za unos u SAP'!$M$3:$M$501,"=431")+SUMIFS('ANALITIKA EU PROJEKATA'!$G$3:$G$34,'ANALITIKA EU PROJEKATA'!$A$3:$A$34,"=573",'ANALITIKA EU PROJEKATA'!$P$3:$P$34,"=431")</f>
        <v>0</v>
      </c>
      <c r="Q50" s="138">
        <f>SUMIFS('Plan rashoda za unos u SAP'!$I$3:$I$501,'Plan rashoda za unos u SAP'!$C$3:$C$501,"=575",'Plan rashoda za unos u SAP'!$M$3:$M$501,"=431")+SUMIFS('ANALITIKA EU PROJEKATA'!$G$3:$G$34,'ANALITIKA EU PROJEKATA'!$A$3:$A$34,"=575",'ANALITIKA EU PROJEKATA'!$P$3:$P$34,"=431")</f>
        <v>0</v>
      </c>
      <c r="R50" s="138">
        <f>SUMIFS('Plan rashoda za unos u SAP'!$I$3:$I$501,'Plan rashoda za unos u SAP'!$C$3:$C$501,"=576",'Plan rashoda za unos u SAP'!$M$3:$M$501,"=431")+SUMIFS('ANALITIKA EU PROJEKATA'!$G$3:$G$34,'ANALITIKA EU PROJEKATA'!$A$3:$A$34,"=576",'ANALITIKA EU PROJEKATA'!$P$3:$P$34,"=431")</f>
        <v>0</v>
      </c>
      <c r="S50" s="138">
        <f>SUMIFS('Plan rashoda za unos u SAP'!$I$3:$I$501,'Plan rashoda za unos u SAP'!$C$3:$C$501,"=581",'Plan rashoda za unos u SAP'!$M$3:$M$501,"=431")+SUMIFS('ANALITIKA EU PROJEKATA'!$G$3:$G$34,'ANALITIKA EU PROJEKATA'!$A$3:$A$34,"=581",'ANALITIKA EU PROJEKATA'!$P$3:$P$34,"=431")</f>
        <v>0</v>
      </c>
      <c r="T50" s="138">
        <f>SUMIFS('Plan rashoda za unos u SAP'!$I$3:$I$501,'Plan rashoda za unos u SAP'!$C$3:$C$501,"=61",'Plan rashoda za unos u SAP'!$M$3:$M$501,"=431")+SUMIFS('ANALITIKA EU PROJEKATA'!$G$3:$G$34,'ANALITIKA EU PROJEKATA'!$A$3:$A$34,"=61",'ANALITIKA EU PROJEKATA'!$P$3:$P$34,"=431")</f>
        <v>0</v>
      </c>
      <c r="U50" s="138">
        <f>SUMIFS('Plan rashoda za unos u SAP'!$I$3:$I$501,'Plan rashoda za unos u SAP'!$C$3:$C$501,"=63",'Plan rashoda za unos u SAP'!$M$3:$M$501,"=431")+SUMIFS('ANALITIKA EU PROJEKATA'!$G$3:$G$34,'ANALITIKA EU PROJEKATA'!$A$3:$A$34,"=63",'ANALITIKA EU PROJEKATA'!$P$3:$P$34,"=431")</f>
        <v>0</v>
      </c>
      <c r="V50" s="138">
        <f>SUMIFS('Plan rashoda za unos u SAP'!$I$3:$I$501,'Plan rashoda za unos u SAP'!$C$3:$C$501,"=71",'Plan rashoda za unos u SAP'!$M$3:$M$501,"=431")+SUMIFS('ANALITIKA EU PROJEKATA'!$G$3:$G$34,'ANALITIKA EU PROJEKATA'!$A$3:$A$34,"=71",'ANALITIKA EU PROJEKATA'!$P$3:$P$34,"=431")</f>
        <v>0</v>
      </c>
      <c r="W50" s="138">
        <f>SUMIFS('Plan rashoda za unos u SAP'!$I$3:$I$501,'Plan rashoda za unos u SAP'!$C$3:$C$501,"=81",'Plan rashoda za unos u SAP'!$M$3:$M$501,"=431")+SUMIFS('ANALITIKA EU PROJEKATA'!$G$3:$G$34,'ANALITIKA EU PROJEKATA'!$A$3:$A$34,"=81",'ANALITIKA EU PROJEKATA'!$P$3:$P$34,"=431")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PROJEKATA'!$G$3:$G$34,'ANALITIKA EU PROJEKATA'!$A$3:$A$34,"=11",'ANALITIKA EU PROJEKATA'!$P$3:$P$34,"=441")</f>
        <v>0</v>
      </c>
      <c r="F52" s="138">
        <f>SUMIFS('Plan rashoda za unos u SAP'!$I$3:$I$501,'Plan rashoda za unos u SAP'!$C$3:$C$501,"=12",'Plan rashoda za unos u SAP'!$M$3:$M$501,"=441")+SUMIFS('ANALITIKA EU PROJEKATA'!$G$3:$G$34,'ANALITIKA EU PROJEKATA'!$A$3:$A$34,"=12",'ANALITIKA EU PROJEKATA'!$P$3:$P$34,"=441")</f>
        <v>0</v>
      </c>
      <c r="G52" s="138">
        <f>SUMIFS('Plan rashoda za unos u SAP'!$I$3:$I$501,'Plan rashoda za unos u SAP'!$C$3:$C$501,"=31",'Plan rashoda za unos u SAP'!$M$3:$M$501,"=441")+SUMIFS('ANALITIKA EU PROJEKATA'!$G$3:$G$34,'ANALITIKA EU PROJEKATA'!$A$3:$A$34,"=31",'ANALITIKA EU PROJEKATA'!$P$3:$P$34,"=441")</f>
        <v>0</v>
      </c>
      <c r="H52" s="138">
        <f>SUMIFS('Plan rashoda za unos u SAP'!$I$3:$I$501,'Plan rashoda za unos u SAP'!$C$3:$C$501,"=41",'Plan rashoda za unos u SAP'!$M$3:$M$501,"=441")+SUMIFS('ANALITIKA EU PROJEKATA'!$G$3:$G$34,'ANALITIKA EU PROJEKATA'!$A$3:$A$34,"=41",'ANALITIKA EU PROJEKATA'!$P$3:$P$34,"=441")</f>
        <v>0</v>
      </c>
      <c r="I52" s="138">
        <f>SUMIFS('Plan rashoda za unos u SAP'!$I$3:$I$501,'Plan rashoda za unos u SAP'!$C$3:$C$501,"=43",'Plan rashoda za unos u SAP'!$M$3:$M$501,"=441")+SUMIFS('ANALITIKA EU PROJEKATA'!$G$3:$G$34,'ANALITIKA EU PROJEKATA'!$A$3:$A$34,"=43",'ANALITIKA EU PROJEKATA'!$P$3:$P$34,"=441")</f>
        <v>0</v>
      </c>
      <c r="J52" s="138">
        <f>SUMIFS('Plan rashoda za unos u SAP'!$I$3:$I$501,'Plan rashoda za unos u SAP'!$C$3:$C$501,"=51",'Plan rashoda za unos u SAP'!$M$3:$M$501,"=441")+SUMIFS('ANALITIKA EU PROJEKATA'!$G$3:$G$34,'ANALITIKA EU PROJEKATA'!$A$3:$A$34,"=51",'ANALITIKA EU PROJEKATA'!$P$3:$P$34,"=441")</f>
        <v>0</v>
      </c>
      <c r="K52" s="138">
        <f>SUMIFS('Plan rashoda za unos u SAP'!$I$3:$I$501,'Plan rashoda za unos u SAP'!$C$3:$C$501,"=52",'Plan rashoda za unos u SAP'!$M$3:$M$501,"=441")+SUMIFS('ANALITIKA EU PROJEKATA'!$G$3:$G$34,'ANALITIKA EU PROJEKATA'!$A$3:$A$34,"=52",'ANALITIKA EU PROJEKATA'!$P$3:$P$34,"=441")</f>
        <v>0</v>
      </c>
      <c r="L52" s="138">
        <f>SUMIFS('Plan rashoda za unos u SAP'!$I$3:$I$501,'Plan rashoda za unos u SAP'!$C$3:$C$501,"=552",'Plan rashoda za unos u SAP'!$M$3:$M$501,"=441")+SUMIFS('ANALITIKA EU PROJEKATA'!$G$3:$G$34,'ANALITIKA EU PROJEKATA'!$A$3:$A$34,"=552",'ANALITIKA EU PROJEKATA'!$P$3:$P$34,"=441")</f>
        <v>0</v>
      </c>
      <c r="M52" s="138">
        <f>SUMIFS('Plan rashoda za unos u SAP'!$I$3:$I$501,'Plan rashoda za unos u SAP'!$C$3:$C$501,"=559",'Plan rashoda za unos u SAP'!$M$3:$M$501,"=441")+SUMIFS('ANALITIKA EU PROJEKATA'!$G$3:$G$34,'ANALITIKA EU PROJEKATA'!$A$3:$A$34,"=559",'ANALITIKA EU PROJEKATA'!$P$3:$P$34,"=441")</f>
        <v>0</v>
      </c>
      <c r="N52" s="138">
        <f>SUMIFS('Plan rashoda za unos u SAP'!$I$3:$I$501,'Plan rashoda za unos u SAP'!$C$3:$C$501,"=561",'Plan rashoda za unos u SAP'!$M$3:$M$501,"=441")+SUMIFS('ANALITIKA EU PROJEKATA'!$G$3:$G$34,'ANALITIKA EU PROJEKATA'!$A$3:$A$34,"=561",'ANALITIKA EU PROJEKATA'!$P$3:$P$34,"=441")</f>
        <v>0</v>
      </c>
      <c r="O52" s="138">
        <f>SUMIFS('Plan rashoda za unos u SAP'!$I$3:$I$501,'Plan rashoda za unos u SAP'!$C$3:$C$501,"=563",'Plan rashoda za unos u SAP'!$M$3:$M$501,"=441")+SUMIFS('ANALITIKA EU PROJEKATA'!$G$3:$G$34,'ANALITIKA EU PROJEKATA'!$A$3:$A$34,"=563",'ANALITIKA EU PROJEKATA'!$P$3:$P$34,"=441")</f>
        <v>0</v>
      </c>
      <c r="P52" s="138">
        <f>SUMIFS('Plan rashoda za unos u SAP'!$I$3:$I$501,'Plan rashoda za unos u SAP'!$C$3:$C$501,"=573",'Plan rashoda za unos u SAP'!$M$3:$M$501,"=441")+SUMIFS('ANALITIKA EU PROJEKATA'!$G$3:$G$34,'ANALITIKA EU PROJEKATA'!$A$3:$A$34,"=573",'ANALITIKA EU PROJEKATA'!$P$3:$P$34,"=441")</f>
        <v>0</v>
      </c>
      <c r="Q52" s="138">
        <f>SUMIFS('Plan rashoda za unos u SAP'!$I$3:$I$501,'Plan rashoda za unos u SAP'!$C$3:$C$501,"=575",'Plan rashoda za unos u SAP'!$M$3:$M$501,"=441")+SUMIFS('ANALITIKA EU PROJEKATA'!$G$3:$G$34,'ANALITIKA EU PROJEKATA'!$A$3:$A$34,"=575",'ANALITIKA EU PROJEKATA'!$P$3:$P$34,"=441")</f>
        <v>0</v>
      </c>
      <c r="R52" s="138">
        <f>SUMIFS('Plan rashoda za unos u SAP'!$I$3:$I$501,'Plan rashoda za unos u SAP'!$C$3:$C$501,"=576",'Plan rashoda za unos u SAP'!$M$3:$M$501,"=441")+SUMIFS('ANALITIKA EU PROJEKATA'!$G$3:$G$34,'ANALITIKA EU PROJEKATA'!$A$3:$A$34,"=576",'ANALITIKA EU PROJEKATA'!$P$3:$P$34,"=441")</f>
        <v>0</v>
      </c>
      <c r="S52" s="138">
        <f>SUMIFS('Plan rashoda za unos u SAP'!$I$3:$I$501,'Plan rashoda za unos u SAP'!$C$3:$C$501,"=581",'Plan rashoda za unos u SAP'!$M$3:$M$501,"=441")+SUMIFS('ANALITIKA EU PROJEKATA'!$G$3:$G$34,'ANALITIKA EU PROJEKATA'!$A$3:$A$34,"=581",'ANALITIKA EU PROJEKATA'!$P$3:$P$34,"=441")</f>
        <v>0</v>
      </c>
      <c r="T52" s="138">
        <f>SUMIFS('Plan rashoda za unos u SAP'!$I$3:$I$501,'Plan rashoda za unos u SAP'!$C$3:$C$501,"=61",'Plan rashoda za unos u SAP'!$M$3:$M$501,"=441")+SUMIFS('ANALITIKA EU PROJEKATA'!$G$3:$G$34,'ANALITIKA EU PROJEKATA'!$A$3:$A$34,"=61",'ANALITIKA EU PROJEKATA'!$P$3:$P$34,"=441")</f>
        <v>0</v>
      </c>
      <c r="U52" s="138">
        <f>SUMIFS('Plan rashoda za unos u SAP'!$I$3:$I$501,'Plan rashoda za unos u SAP'!$C$3:$C$501,"=63",'Plan rashoda za unos u SAP'!$M$3:$M$501,"=441")+SUMIFS('ANALITIKA EU PROJEKATA'!$G$3:$G$34,'ANALITIKA EU PROJEKATA'!$A$3:$A$34,"=63",'ANALITIKA EU PROJEKATA'!$P$3:$P$34,"=441")</f>
        <v>0</v>
      </c>
      <c r="V52" s="138">
        <f>SUMIFS('Plan rashoda za unos u SAP'!$I$3:$I$501,'Plan rashoda za unos u SAP'!$C$3:$C$501,"=71",'Plan rashoda za unos u SAP'!$M$3:$M$501,"=441")+SUMIFS('ANALITIKA EU PROJEKATA'!$G$3:$G$34,'ANALITIKA EU PROJEKATA'!$A$3:$A$34,"=71",'ANALITIKA EU PROJEKATA'!$P$3:$P$34,"=441")</f>
        <v>0</v>
      </c>
      <c r="W52" s="138">
        <f>SUMIFS('Plan rashoda za unos u SAP'!$I$3:$I$501,'Plan rashoda za unos u SAP'!$C$3:$C$501,"=81",'Plan rashoda za unos u SAP'!$M$3:$M$501,"=441")+SUMIFS('ANALITIKA EU PROJEKATA'!$G$3:$G$34,'ANALITIKA EU PROJEKATA'!$A$3:$A$34,"=81",'ANALITIKA EU PROJEKATA'!$P$3:$P$34,"=441")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PROJEKATA'!$G$3:$G$34,'ANALITIKA EU PROJEKATA'!$A$3:$A$34,"=11",'ANALITIKA EU PROJEKATA'!$P$3:$P$34,"=451")</f>
        <v>0</v>
      </c>
      <c r="F54" s="138">
        <f>SUMIFS('Plan rashoda za unos u SAP'!$I$3:$I$501,'Plan rashoda za unos u SAP'!$C$3:$C$501,"=12",'Plan rashoda za unos u SAP'!$M$3:$M$501,"=451")+SUMIFS('ANALITIKA EU PROJEKATA'!$G$3:$G$34,'ANALITIKA EU PROJEKATA'!$A$3:$A$34,"=12",'ANALITIKA EU PROJEKATA'!$P$3:$P$34,"=451")</f>
        <v>0</v>
      </c>
      <c r="G54" s="138">
        <f>SUMIFS('Plan rashoda za unos u SAP'!$I$3:$I$501,'Plan rashoda za unos u SAP'!$C$3:$C$501,"=31",'Plan rashoda za unos u SAP'!$M$3:$M$501,"=451")+SUMIFS('ANALITIKA EU PROJEKATA'!$G$3:$G$34,'ANALITIKA EU PROJEKATA'!$A$3:$A$34,"=31",'ANALITIKA EU PROJEKATA'!$P$3:$P$34,"=451")</f>
        <v>0</v>
      </c>
      <c r="H54" s="138">
        <f>SUMIFS('Plan rashoda za unos u SAP'!$I$3:$I$501,'Plan rashoda za unos u SAP'!$C$3:$C$501,"=41",'Plan rashoda za unos u SAP'!$M$3:$M$501,"=451")+SUMIFS('ANALITIKA EU PROJEKATA'!$G$3:$G$34,'ANALITIKA EU PROJEKATA'!$A$3:$A$34,"=41",'ANALITIKA EU PROJEKATA'!$P$3:$P$34,"=451")</f>
        <v>0</v>
      </c>
      <c r="I54" s="138">
        <f>SUMIFS('Plan rashoda za unos u SAP'!$I$3:$I$501,'Plan rashoda za unos u SAP'!$C$3:$C$501,"=43",'Plan rashoda za unos u SAP'!$M$3:$M$501,"=451")+SUMIFS('ANALITIKA EU PROJEKATA'!$G$3:$G$34,'ANALITIKA EU PROJEKATA'!$A$3:$A$34,"=43",'ANALITIKA EU PROJEKATA'!$P$3:$P$34,"=451")</f>
        <v>0</v>
      </c>
      <c r="J54" s="138">
        <f>SUMIFS('Plan rashoda za unos u SAP'!$I$3:$I$501,'Plan rashoda za unos u SAP'!$C$3:$C$501,"=51",'Plan rashoda za unos u SAP'!$M$3:$M$501,"=451")+SUMIFS('ANALITIKA EU PROJEKATA'!$G$3:$G$34,'ANALITIKA EU PROJEKATA'!$A$3:$A$34,"=51",'ANALITIKA EU PROJEKATA'!$P$3:$P$34,"=451")</f>
        <v>0</v>
      </c>
      <c r="K54" s="138">
        <f>SUMIFS('Plan rashoda za unos u SAP'!$I$3:$I$501,'Plan rashoda za unos u SAP'!$C$3:$C$501,"=52",'Plan rashoda za unos u SAP'!$M$3:$M$501,"=451")+SUMIFS('ANALITIKA EU PROJEKATA'!$G$3:$G$34,'ANALITIKA EU PROJEKATA'!$A$3:$A$34,"=52",'ANALITIKA EU PROJEKATA'!$P$3:$P$34,"=451")</f>
        <v>0</v>
      </c>
      <c r="L54" s="138">
        <f>SUMIFS('Plan rashoda za unos u SAP'!$I$3:$I$501,'Plan rashoda za unos u SAP'!$C$3:$C$501,"=552",'Plan rashoda za unos u SAP'!$M$3:$M$501,"=451")+SUMIFS('ANALITIKA EU PROJEKATA'!$G$3:$G$34,'ANALITIKA EU PROJEKATA'!$A$3:$A$34,"=552",'ANALITIKA EU PROJEKATA'!$P$3:$P$34,"=451")</f>
        <v>0</v>
      </c>
      <c r="M54" s="138">
        <f>SUMIFS('Plan rashoda za unos u SAP'!$I$3:$I$501,'Plan rashoda za unos u SAP'!$C$3:$C$501,"=559",'Plan rashoda za unos u SAP'!$M$3:$M$501,"=451")+SUMIFS('ANALITIKA EU PROJEKATA'!$G$3:$G$34,'ANALITIKA EU PROJEKATA'!$A$3:$A$34,"=559",'ANALITIKA EU PROJEKATA'!$P$3:$P$34,"=451")</f>
        <v>0</v>
      </c>
      <c r="N54" s="138">
        <f>SUMIFS('Plan rashoda za unos u SAP'!$I$3:$I$501,'Plan rashoda za unos u SAP'!$C$3:$C$501,"=561",'Plan rashoda za unos u SAP'!$M$3:$M$501,"=451")+SUMIFS('ANALITIKA EU PROJEKATA'!$G$3:$G$34,'ANALITIKA EU PROJEKATA'!$A$3:$A$34,"=561",'ANALITIKA EU PROJEKATA'!$P$3:$P$34,"=451")</f>
        <v>0</v>
      </c>
      <c r="O54" s="138">
        <f>SUMIFS('Plan rashoda za unos u SAP'!$I$3:$I$501,'Plan rashoda za unos u SAP'!$C$3:$C$501,"=563",'Plan rashoda za unos u SAP'!$M$3:$M$501,"=451")+SUMIFS('ANALITIKA EU PROJEKATA'!$G$3:$G$34,'ANALITIKA EU PROJEKATA'!$A$3:$A$34,"=563",'ANALITIKA EU PROJEKATA'!$P$3:$P$34,"=451")</f>
        <v>0</v>
      </c>
      <c r="P54" s="138">
        <f>SUMIFS('Plan rashoda za unos u SAP'!$I$3:$I$501,'Plan rashoda za unos u SAP'!$C$3:$C$501,"=573",'Plan rashoda za unos u SAP'!$M$3:$M$501,"=451")+SUMIFS('ANALITIKA EU PROJEKATA'!$G$3:$G$34,'ANALITIKA EU PROJEKATA'!$A$3:$A$34,"=573",'ANALITIKA EU PROJEKATA'!$P$3:$P$34,"=451")</f>
        <v>0</v>
      </c>
      <c r="Q54" s="138">
        <f>SUMIFS('Plan rashoda za unos u SAP'!$I$3:$I$501,'Plan rashoda za unos u SAP'!$C$3:$C$501,"=575",'Plan rashoda za unos u SAP'!$M$3:$M$501,"=451")+SUMIFS('ANALITIKA EU PROJEKATA'!$G$3:$G$34,'ANALITIKA EU PROJEKATA'!$A$3:$A$34,"=575",'ANALITIKA EU PROJEKATA'!$P$3:$P$34,"=451")</f>
        <v>0</v>
      </c>
      <c r="R54" s="138">
        <f>SUMIFS('Plan rashoda za unos u SAP'!$I$3:$I$501,'Plan rashoda za unos u SAP'!$C$3:$C$501,"=576",'Plan rashoda za unos u SAP'!$M$3:$M$501,"=451")+SUMIFS('ANALITIKA EU PROJEKATA'!$G$3:$G$34,'ANALITIKA EU PROJEKATA'!$A$3:$A$34,"=576",'ANALITIKA EU PROJEKATA'!$P$3:$P$34,"=451")</f>
        <v>0</v>
      </c>
      <c r="S54" s="138">
        <f>SUMIFS('Plan rashoda za unos u SAP'!$I$3:$I$501,'Plan rashoda za unos u SAP'!$C$3:$C$501,"=581",'Plan rashoda za unos u SAP'!$M$3:$M$501,"=451")+SUMIFS('ANALITIKA EU PROJEKATA'!$G$3:$G$34,'ANALITIKA EU PROJEKATA'!$A$3:$A$34,"=581",'ANALITIKA EU PROJEKATA'!$P$3:$P$34,"=451")</f>
        <v>0</v>
      </c>
      <c r="T54" s="138">
        <f>SUMIFS('Plan rashoda za unos u SAP'!$I$3:$I$501,'Plan rashoda za unos u SAP'!$C$3:$C$501,"=61",'Plan rashoda za unos u SAP'!$M$3:$M$501,"=451")+SUMIFS('ANALITIKA EU PROJEKATA'!$G$3:$G$34,'ANALITIKA EU PROJEKATA'!$A$3:$A$34,"=61",'ANALITIKA EU PROJEKATA'!$P$3:$P$34,"=451")</f>
        <v>0</v>
      </c>
      <c r="U54" s="138">
        <f>SUMIFS('Plan rashoda za unos u SAP'!$I$3:$I$501,'Plan rashoda za unos u SAP'!$C$3:$C$501,"=63",'Plan rashoda za unos u SAP'!$M$3:$M$501,"=451")+SUMIFS('ANALITIKA EU PROJEKATA'!$G$3:$G$34,'ANALITIKA EU PROJEKATA'!$A$3:$A$34,"=63",'ANALITIKA EU PROJEKATA'!$P$3:$P$34,"=451")</f>
        <v>0</v>
      </c>
      <c r="V54" s="138">
        <f>SUMIFS('Plan rashoda za unos u SAP'!$I$3:$I$501,'Plan rashoda za unos u SAP'!$C$3:$C$501,"=71",'Plan rashoda za unos u SAP'!$M$3:$M$501,"=451")+SUMIFS('ANALITIKA EU PROJEKATA'!$G$3:$G$34,'ANALITIKA EU PROJEKATA'!$A$3:$A$34,"=71",'ANALITIKA EU PROJEKATA'!$P$3:$P$34,"=451")</f>
        <v>0</v>
      </c>
      <c r="W54" s="138">
        <f>SUMIFS('Plan rashoda za unos u SAP'!$I$3:$I$501,'Plan rashoda za unos u SAP'!$C$3:$C$501,"=81",'Plan rashoda za unos u SAP'!$M$3:$M$501,"=451")+SUMIFS('ANALITIKA EU PROJEKATA'!$G$3:$G$34,'ANALITIKA EU PROJEKATA'!$A$3:$A$34,"=81",'ANALITIKA EU PROJEKATA'!$P$3:$P$34,"=451")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PROJEKATA'!$G$3:$G$34,'ANALITIKA EU PROJEKATA'!$A$3:$A$34,"=11",'ANALITIKA EU PROJEKATA'!$P$3:$P$34,"=452")</f>
        <v>0</v>
      </c>
      <c r="F55" s="138">
        <f>SUMIFS('Plan rashoda za unos u SAP'!$I$3:$I$501,'Plan rashoda za unos u SAP'!$C$3:$C$501,"=12",'Plan rashoda za unos u SAP'!$M$3:$M$501,"=452")+SUMIFS('ANALITIKA EU PROJEKATA'!$G$3:$G$34,'ANALITIKA EU PROJEKATA'!$A$3:$A$34,"=12",'ANALITIKA EU PROJEKATA'!$P$3:$P$34,"=452")</f>
        <v>0</v>
      </c>
      <c r="G55" s="138">
        <f>SUMIFS('Plan rashoda za unos u SAP'!$I$3:$I$501,'Plan rashoda za unos u SAP'!$C$3:$C$501,"=31",'Plan rashoda za unos u SAP'!$M$3:$M$501,"=452")+SUMIFS('ANALITIKA EU PROJEKATA'!$G$3:$G$34,'ANALITIKA EU PROJEKATA'!$A$3:$A$34,"=31",'ANALITIKA EU PROJEKATA'!$P$3:$P$34,"=452")</f>
        <v>0</v>
      </c>
      <c r="H55" s="138">
        <f>SUMIFS('Plan rashoda za unos u SAP'!$I$3:$I$501,'Plan rashoda za unos u SAP'!$C$3:$C$501,"=41",'Plan rashoda za unos u SAP'!$M$3:$M$501,"=452")+SUMIFS('ANALITIKA EU PROJEKATA'!$G$3:$G$34,'ANALITIKA EU PROJEKATA'!$A$3:$A$34,"=41",'ANALITIKA EU PROJEKATA'!$P$3:$P$34,"=452")</f>
        <v>0</v>
      </c>
      <c r="I55" s="138">
        <f>SUMIFS('Plan rashoda za unos u SAP'!$I$3:$I$501,'Plan rashoda za unos u SAP'!$C$3:$C$501,"=43",'Plan rashoda za unos u SAP'!$M$3:$M$501,"=452")+SUMIFS('ANALITIKA EU PROJEKATA'!$G$3:$G$34,'ANALITIKA EU PROJEKATA'!$A$3:$A$34,"=43",'ANALITIKA EU PROJEKATA'!$P$3:$P$34,"=452")</f>
        <v>0</v>
      </c>
      <c r="J55" s="138">
        <f>SUMIFS('Plan rashoda za unos u SAP'!$I$3:$I$501,'Plan rashoda za unos u SAP'!$C$3:$C$501,"=51",'Plan rashoda za unos u SAP'!$M$3:$M$501,"=452")+SUMIFS('ANALITIKA EU PROJEKATA'!$G$3:$G$34,'ANALITIKA EU PROJEKATA'!$A$3:$A$34,"=51",'ANALITIKA EU PROJEKATA'!$P$3:$P$34,"=452")</f>
        <v>0</v>
      </c>
      <c r="K55" s="138">
        <f>SUMIFS('Plan rashoda za unos u SAP'!$I$3:$I$501,'Plan rashoda za unos u SAP'!$C$3:$C$501,"=52",'Plan rashoda za unos u SAP'!$M$3:$M$501,"=452")+SUMIFS('ANALITIKA EU PROJEKATA'!$G$3:$G$34,'ANALITIKA EU PROJEKATA'!$A$3:$A$34,"=52",'ANALITIKA EU PROJEKATA'!$P$3:$P$34,"=452")</f>
        <v>0</v>
      </c>
      <c r="L55" s="138">
        <f>SUMIFS('Plan rashoda za unos u SAP'!$I$3:$I$501,'Plan rashoda za unos u SAP'!$C$3:$C$501,"=552",'Plan rashoda za unos u SAP'!$M$3:$M$501,"=452")+SUMIFS('ANALITIKA EU PROJEKATA'!$G$3:$G$34,'ANALITIKA EU PROJEKATA'!$A$3:$A$34,"=552",'ANALITIKA EU PROJEKATA'!$P$3:$P$34,"=452")</f>
        <v>0</v>
      </c>
      <c r="M55" s="138">
        <f>SUMIFS('Plan rashoda za unos u SAP'!$I$3:$I$501,'Plan rashoda za unos u SAP'!$C$3:$C$501,"=559",'Plan rashoda za unos u SAP'!$M$3:$M$501,"=452")+SUMIFS('ANALITIKA EU PROJEKATA'!$G$3:$G$34,'ANALITIKA EU PROJEKATA'!$A$3:$A$34,"=559",'ANALITIKA EU PROJEKATA'!$P$3:$P$34,"=452")</f>
        <v>0</v>
      </c>
      <c r="N55" s="138">
        <f>SUMIFS('Plan rashoda za unos u SAP'!$I$3:$I$501,'Plan rashoda za unos u SAP'!$C$3:$C$501,"=561",'Plan rashoda za unos u SAP'!$M$3:$M$501,"=452")+SUMIFS('ANALITIKA EU PROJEKATA'!$G$3:$G$34,'ANALITIKA EU PROJEKATA'!$A$3:$A$34,"=561",'ANALITIKA EU PROJEKATA'!$P$3:$P$34,"=452")</f>
        <v>0</v>
      </c>
      <c r="O55" s="138">
        <f>SUMIFS('Plan rashoda za unos u SAP'!$I$3:$I$501,'Plan rashoda za unos u SAP'!$C$3:$C$501,"=563",'Plan rashoda za unos u SAP'!$M$3:$M$501,"=452")+SUMIFS('ANALITIKA EU PROJEKATA'!$G$3:$G$34,'ANALITIKA EU PROJEKATA'!$A$3:$A$34,"=563",'ANALITIKA EU PROJEKATA'!$P$3:$P$34,"=452")</f>
        <v>0</v>
      </c>
      <c r="P55" s="138">
        <f>SUMIFS('Plan rashoda za unos u SAP'!$I$3:$I$501,'Plan rashoda za unos u SAP'!$C$3:$C$501,"=573",'Plan rashoda za unos u SAP'!$M$3:$M$501,"=452")+SUMIFS('ANALITIKA EU PROJEKATA'!$G$3:$G$34,'ANALITIKA EU PROJEKATA'!$A$3:$A$34,"=573",'ANALITIKA EU PROJEKATA'!$P$3:$P$34,"=452")</f>
        <v>0</v>
      </c>
      <c r="Q55" s="138">
        <f>SUMIFS('Plan rashoda za unos u SAP'!$I$3:$I$501,'Plan rashoda za unos u SAP'!$C$3:$C$501,"=575",'Plan rashoda za unos u SAP'!$M$3:$M$501,"=452")+SUMIFS('ANALITIKA EU PROJEKATA'!$G$3:$G$34,'ANALITIKA EU PROJEKATA'!$A$3:$A$34,"=575",'ANALITIKA EU PROJEKATA'!$P$3:$P$34,"=452")</f>
        <v>0</v>
      </c>
      <c r="R55" s="138">
        <f>SUMIFS('Plan rashoda za unos u SAP'!$I$3:$I$501,'Plan rashoda za unos u SAP'!$C$3:$C$501,"=576",'Plan rashoda za unos u SAP'!$M$3:$M$501,"=452")+SUMIFS('ANALITIKA EU PROJEKATA'!$G$3:$G$34,'ANALITIKA EU PROJEKATA'!$A$3:$A$34,"=576",'ANALITIKA EU PROJEKATA'!$P$3:$P$34,"=452")</f>
        <v>0</v>
      </c>
      <c r="S55" s="138">
        <f>SUMIFS('Plan rashoda za unos u SAP'!$I$3:$I$501,'Plan rashoda za unos u SAP'!$C$3:$C$501,"=581",'Plan rashoda za unos u SAP'!$M$3:$M$501,"=452")+SUMIFS('ANALITIKA EU PROJEKATA'!$G$3:$G$34,'ANALITIKA EU PROJEKATA'!$A$3:$A$34,"=581",'ANALITIKA EU PROJEKATA'!$P$3:$P$34,"=452")</f>
        <v>0</v>
      </c>
      <c r="T55" s="138">
        <f>SUMIFS('Plan rashoda za unos u SAP'!$I$3:$I$501,'Plan rashoda za unos u SAP'!$C$3:$C$501,"=61",'Plan rashoda za unos u SAP'!$M$3:$M$501,"=452")+SUMIFS('ANALITIKA EU PROJEKATA'!$G$3:$G$34,'ANALITIKA EU PROJEKATA'!$A$3:$A$34,"=61",'ANALITIKA EU PROJEKATA'!$P$3:$P$34,"=452")</f>
        <v>0</v>
      </c>
      <c r="U55" s="138">
        <f>SUMIFS('Plan rashoda za unos u SAP'!$I$3:$I$501,'Plan rashoda za unos u SAP'!$C$3:$C$501,"=63",'Plan rashoda za unos u SAP'!$M$3:$M$501,"=452")+SUMIFS('ANALITIKA EU PROJEKATA'!$G$3:$G$34,'ANALITIKA EU PROJEKATA'!$A$3:$A$34,"=63",'ANALITIKA EU PROJEKATA'!$P$3:$P$34,"=452")</f>
        <v>0</v>
      </c>
      <c r="V55" s="138">
        <f>SUMIFS('Plan rashoda za unos u SAP'!$I$3:$I$501,'Plan rashoda za unos u SAP'!$C$3:$C$501,"=71",'Plan rashoda za unos u SAP'!$M$3:$M$501,"=452")+SUMIFS('ANALITIKA EU PROJEKATA'!$G$3:$G$34,'ANALITIKA EU PROJEKATA'!$A$3:$A$34,"=71",'ANALITIKA EU PROJEKATA'!$P$3:$P$34,"=452")</f>
        <v>0</v>
      </c>
      <c r="W55" s="138">
        <f>SUMIFS('Plan rashoda za unos u SAP'!$I$3:$I$501,'Plan rashoda za unos u SAP'!$C$3:$C$501,"=81",'Plan rashoda za unos u SAP'!$M$3:$M$501,"=452")+SUMIFS('ANALITIKA EU PROJEKATA'!$G$3:$G$34,'ANALITIKA EU PROJEKATA'!$A$3:$A$34,"=81",'ANALITIKA EU PROJEKATA'!$P$3:$P$34,"=452")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PROJEKATA'!$G$3:$G$34,'ANALITIKA EU PROJEKATA'!$A$3:$A$34,"=11",'ANALITIKA EU PROJEKATA'!$P$3:$P$34,"=453")</f>
        <v>0</v>
      </c>
      <c r="F56" s="138">
        <f>SUMIFS('Plan rashoda za unos u SAP'!$I$3:$I$501,'Plan rashoda za unos u SAP'!$C$3:$C$501,"=12",'Plan rashoda za unos u SAP'!$M$3:$M$501,"=453")+SUMIFS('ANALITIKA EU PROJEKATA'!$G$3:$G$34,'ANALITIKA EU PROJEKATA'!$A$3:$A$34,"=12",'ANALITIKA EU PROJEKATA'!$P$3:$P$34,"=453")</f>
        <v>0</v>
      </c>
      <c r="G56" s="138">
        <f>SUMIFS('Plan rashoda za unos u SAP'!$I$3:$I$501,'Plan rashoda za unos u SAP'!$C$3:$C$501,"=31",'Plan rashoda za unos u SAP'!$M$3:$M$501,"=453")+SUMIFS('ANALITIKA EU PROJEKATA'!$G$3:$G$34,'ANALITIKA EU PROJEKATA'!$A$3:$A$34,"=31",'ANALITIKA EU PROJEKATA'!$P$3:$P$34,"=453")</f>
        <v>0</v>
      </c>
      <c r="H56" s="138">
        <f>SUMIFS('Plan rashoda za unos u SAP'!$I$3:$I$501,'Plan rashoda za unos u SAP'!$C$3:$C$501,"=41",'Plan rashoda za unos u SAP'!$M$3:$M$501,"=453")+SUMIFS('ANALITIKA EU PROJEKATA'!$G$3:$G$34,'ANALITIKA EU PROJEKATA'!$A$3:$A$34,"=41",'ANALITIKA EU PROJEKATA'!$P$3:$P$34,"=453")</f>
        <v>0</v>
      </c>
      <c r="I56" s="138">
        <f>SUMIFS('Plan rashoda za unos u SAP'!$I$3:$I$501,'Plan rashoda za unos u SAP'!$C$3:$C$501,"=43",'Plan rashoda za unos u SAP'!$M$3:$M$501,"=453")+SUMIFS('ANALITIKA EU PROJEKATA'!$G$3:$G$34,'ANALITIKA EU PROJEKATA'!$A$3:$A$34,"=43",'ANALITIKA EU PROJEKATA'!$P$3:$P$34,"=453")</f>
        <v>0</v>
      </c>
      <c r="J56" s="138">
        <f>SUMIFS('Plan rashoda za unos u SAP'!$I$3:$I$501,'Plan rashoda za unos u SAP'!$C$3:$C$501,"=51",'Plan rashoda za unos u SAP'!$M$3:$M$501,"=453")+SUMIFS('ANALITIKA EU PROJEKATA'!$G$3:$G$34,'ANALITIKA EU PROJEKATA'!$A$3:$A$34,"=51",'ANALITIKA EU PROJEKATA'!$P$3:$P$34,"=453")</f>
        <v>0</v>
      </c>
      <c r="K56" s="138">
        <f>SUMIFS('Plan rashoda za unos u SAP'!$I$3:$I$501,'Plan rashoda za unos u SAP'!$C$3:$C$501,"=52",'Plan rashoda za unos u SAP'!$M$3:$M$501,"=453")+SUMIFS('ANALITIKA EU PROJEKATA'!$G$3:$G$34,'ANALITIKA EU PROJEKATA'!$A$3:$A$34,"=52",'ANALITIKA EU PROJEKATA'!$P$3:$P$34,"=453")</f>
        <v>0</v>
      </c>
      <c r="L56" s="138">
        <f>SUMIFS('Plan rashoda za unos u SAP'!$I$3:$I$501,'Plan rashoda za unos u SAP'!$C$3:$C$501,"=552",'Plan rashoda za unos u SAP'!$M$3:$M$501,"=453")+SUMIFS('ANALITIKA EU PROJEKATA'!$G$3:$G$34,'ANALITIKA EU PROJEKATA'!$A$3:$A$34,"=552",'ANALITIKA EU PROJEKATA'!$P$3:$P$34,"=453")</f>
        <v>0</v>
      </c>
      <c r="M56" s="138">
        <f>SUMIFS('Plan rashoda za unos u SAP'!$I$3:$I$501,'Plan rashoda za unos u SAP'!$C$3:$C$501,"=559",'Plan rashoda za unos u SAP'!$M$3:$M$501,"=453")+SUMIFS('ANALITIKA EU PROJEKATA'!$G$3:$G$34,'ANALITIKA EU PROJEKATA'!$A$3:$A$34,"=559",'ANALITIKA EU PROJEKATA'!$P$3:$P$34,"=453")</f>
        <v>0</v>
      </c>
      <c r="N56" s="138">
        <f>SUMIFS('Plan rashoda za unos u SAP'!$I$3:$I$501,'Plan rashoda za unos u SAP'!$C$3:$C$501,"=561",'Plan rashoda za unos u SAP'!$M$3:$M$501,"=453")+SUMIFS('ANALITIKA EU PROJEKATA'!$G$3:$G$34,'ANALITIKA EU PROJEKATA'!$A$3:$A$34,"=561",'ANALITIKA EU PROJEKATA'!$P$3:$P$34,"=453")</f>
        <v>0</v>
      </c>
      <c r="O56" s="138">
        <f>SUMIFS('Plan rashoda za unos u SAP'!$I$3:$I$501,'Plan rashoda za unos u SAP'!$C$3:$C$501,"=563",'Plan rashoda za unos u SAP'!$M$3:$M$501,"=453")+SUMIFS('ANALITIKA EU PROJEKATA'!$G$3:$G$34,'ANALITIKA EU PROJEKATA'!$A$3:$A$34,"=563",'ANALITIKA EU PROJEKATA'!$P$3:$P$34,"=453")</f>
        <v>0</v>
      </c>
      <c r="P56" s="138">
        <f>SUMIFS('Plan rashoda za unos u SAP'!$I$3:$I$501,'Plan rashoda za unos u SAP'!$C$3:$C$501,"=573",'Plan rashoda za unos u SAP'!$M$3:$M$501,"=453")+SUMIFS('ANALITIKA EU PROJEKATA'!$G$3:$G$34,'ANALITIKA EU PROJEKATA'!$A$3:$A$34,"=573",'ANALITIKA EU PROJEKATA'!$P$3:$P$34,"=453")</f>
        <v>0</v>
      </c>
      <c r="Q56" s="138">
        <f>SUMIFS('Plan rashoda za unos u SAP'!$I$3:$I$501,'Plan rashoda za unos u SAP'!$C$3:$C$501,"=575",'Plan rashoda za unos u SAP'!$M$3:$M$501,"=453")+SUMIFS('ANALITIKA EU PROJEKATA'!$G$3:$G$34,'ANALITIKA EU PROJEKATA'!$A$3:$A$34,"=575",'ANALITIKA EU PROJEKATA'!$P$3:$P$34,"=453")</f>
        <v>0</v>
      </c>
      <c r="R56" s="138">
        <f>SUMIFS('Plan rashoda za unos u SAP'!$I$3:$I$501,'Plan rashoda za unos u SAP'!$C$3:$C$501,"=576",'Plan rashoda za unos u SAP'!$M$3:$M$501,"=453")+SUMIFS('ANALITIKA EU PROJEKATA'!$G$3:$G$34,'ANALITIKA EU PROJEKATA'!$A$3:$A$34,"=576",'ANALITIKA EU PROJEKATA'!$P$3:$P$34,"=453")</f>
        <v>0</v>
      </c>
      <c r="S56" s="138">
        <f>SUMIFS('Plan rashoda za unos u SAP'!$I$3:$I$501,'Plan rashoda za unos u SAP'!$C$3:$C$501,"=581",'Plan rashoda za unos u SAP'!$M$3:$M$501,"=453")+SUMIFS('ANALITIKA EU PROJEKATA'!$G$3:$G$34,'ANALITIKA EU PROJEKATA'!$A$3:$A$34,"=581",'ANALITIKA EU PROJEKATA'!$P$3:$P$34,"=453")</f>
        <v>0</v>
      </c>
      <c r="T56" s="138">
        <f>SUMIFS('Plan rashoda za unos u SAP'!$I$3:$I$501,'Plan rashoda za unos u SAP'!$C$3:$C$501,"=61",'Plan rashoda za unos u SAP'!$M$3:$M$501,"=453")+SUMIFS('ANALITIKA EU PROJEKATA'!$G$3:$G$34,'ANALITIKA EU PROJEKATA'!$A$3:$A$34,"=61",'ANALITIKA EU PROJEKATA'!$P$3:$P$34,"=453")</f>
        <v>0</v>
      </c>
      <c r="U56" s="138">
        <f>SUMIFS('Plan rashoda za unos u SAP'!$I$3:$I$501,'Plan rashoda za unos u SAP'!$C$3:$C$501,"=63",'Plan rashoda za unos u SAP'!$M$3:$M$501,"=453")+SUMIFS('ANALITIKA EU PROJEKATA'!$G$3:$G$34,'ANALITIKA EU PROJEKATA'!$A$3:$A$34,"=63",'ANALITIKA EU PROJEKATA'!$P$3:$P$34,"=453")</f>
        <v>0</v>
      </c>
      <c r="V56" s="138">
        <f>SUMIFS('Plan rashoda za unos u SAP'!$I$3:$I$501,'Plan rashoda za unos u SAP'!$C$3:$C$501,"=71",'Plan rashoda za unos u SAP'!$M$3:$M$501,"=453")+SUMIFS('ANALITIKA EU PROJEKATA'!$G$3:$G$34,'ANALITIKA EU PROJEKATA'!$A$3:$A$34,"=71",'ANALITIKA EU PROJEKATA'!$P$3:$P$34,"=453")</f>
        <v>0</v>
      </c>
      <c r="W56" s="138">
        <f>SUMIFS('Plan rashoda za unos u SAP'!$I$3:$I$501,'Plan rashoda za unos u SAP'!$C$3:$C$501,"=81",'Plan rashoda za unos u SAP'!$M$3:$M$501,"=453")+SUMIFS('ANALITIKA EU PROJEKATA'!$G$3:$G$34,'ANALITIKA EU PROJEKATA'!$A$3:$A$34,"=81",'ANALITIKA EU PROJEKATA'!$P$3:$P$34,"=453")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PROJEKATA'!$G$3:$G$34,'ANALITIKA EU PROJEKATA'!$A$3:$A$34,"=11",'ANALITIKA EU PROJEKATA'!$P$3:$P$34,"=454")</f>
        <v>0</v>
      </c>
      <c r="F57" s="138">
        <f>SUMIFS('Plan rashoda za unos u SAP'!$I$3:$I$501,'Plan rashoda za unos u SAP'!$C$3:$C$501,"=12",'Plan rashoda za unos u SAP'!$M$3:$M$501,"=454")+SUMIFS('ANALITIKA EU PROJEKATA'!$G$3:$G$34,'ANALITIKA EU PROJEKATA'!$A$3:$A$34,"=12",'ANALITIKA EU PROJEKATA'!$P$3:$P$34,"=454")</f>
        <v>0</v>
      </c>
      <c r="G57" s="138">
        <f>SUMIFS('Plan rashoda za unos u SAP'!$I$3:$I$501,'Plan rashoda za unos u SAP'!$C$3:$C$501,"=31",'Plan rashoda za unos u SAP'!$M$3:$M$501,"=454")+SUMIFS('ANALITIKA EU PROJEKATA'!$G$3:$G$34,'ANALITIKA EU PROJEKATA'!$A$3:$A$34,"=31",'ANALITIKA EU PROJEKATA'!$P$3:$P$34,"=454")</f>
        <v>0</v>
      </c>
      <c r="H57" s="138">
        <f>SUMIFS('Plan rashoda za unos u SAP'!$I$3:$I$501,'Plan rashoda za unos u SAP'!$C$3:$C$501,"=41",'Plan rashoda za unos u SAP'!$M$3:$M$501,"=454")+SUMIFS('ANALITIKA EU PROJEKATA'!$G$3:$G$34,'ANALITIKA EU PROJEKATA'!$A$3:$A$34,"=41",'ANALITIKA EU PROJEKATA'!$P$3:$P$34,"=454")</f>
        <v>0</v>
      </c>
      <c r="I57" s="138">
        <f>SUMIFS('Plan rashoda za unos u SAP'!$I$3:$I$501,'Plan rashoda za unos u SAP'!$C$3:$C$501,"=43",'Plan rashoda za unos u SAP'!$M$3:$M$501,"=454")+SUMIFS('ANALITIKA EU PROJEKATA'!$G$3:$G$34,'ANALITIKA EU PROJEKATA'!$A$3:$A$34,"=43",'ANALITIKA EU PROJEKATA'!$P$3:$P$34,"=454")</f>
        <v>0</v>
      </c>
      <c r="J57" s="138">
        <f>SUMIFS('Plan rashoda za unos u SAP'!$I$3:$I$501,'Plan rashoda za unos u SAP'!$C$3:$C$501,"=51",'Plan rashoda za unos u SAP'!$M$3:$M$501,"=454")+SUMIFS('ANALITIKA EU PROJEKATA'!$G$3:$G$34,'ANALITIKA EU PROJEKATA'!$A$3:$A$34,"=51",'ANALITIKA EU PROJEKATA'!$P$3:$P$34,"=454")</f>
        <v>0</v>
      </c>
      <c r="K57" s="138">
        <f>SUMIFS('Plan rashoda za unos u SAP'!$I$3:$I$501,'Plan rashoda za unos u SAP'!$C$3:$C$501,"=52",'Plan rashoda za unos u SAP'!$M$3:$M$501,"=454")+SUMIFS('ANALITIKA EU PROJEKATA'!$G$3:$G$34,'ANALITIKA EU PROJEKATA'!$A$3:$A$34,"=52",'ANALITIKA EU PROJEKATA'!$P$3:$P$34,"=454")</f>
        <v>0</v>
      </c>
      <c r="L57" s="138">
        <f>SUMIFS('Plan rashoda za unos u SAP'!$I$3:$I$501,'Plan rashoda za unos u SAP'!$C$3:$C$501,"=552",'Plan rashoda za unos u SAP'!$M$3:$M$501,"=454")+SUMIFS('ANALITIKA EU PROJEKATA'!$G$3:$G$34,'ANALITIKA EU PROJEKATA'!$A$3:$A$34,"=552",'ANALITIKA EU PROJEKATA'!$P$3:$P$34,"=454")</f>
        <v>0</v>
      </c>
      <c r="M57" s="138">
        <f>SUMIFS('Plan rashoda za unos u SAP'!$I$3:$I$501,'Plan rashoda za unos u SAP'!$C$3:$C$501,"=559",'Plan rashoda za unos u SAP'!$M$3:$M$501,"=454")+SUMIFS('ANALITIKA EU PROJEKATA'!$G$3:$G$34,'ANALITIKA EU PROJEKATA'!$A$3:$A$34,"=559",'ANALITIKA EU PROJEKATA'!$P$3:$P$34,"=454")</f>
        <v>0</v>
      </c>
      <c r="N57" s="138">
        <f>SUMIFS('Plan rashoda za unos u SAP'!$I$3:$I$501,'Plan rashoda za unos u SAP'!$C$3:$C$501,"=561",'Plan rashoda za unos u SAP'!$M$3:$M$501,"=454")+SUMIFS('ANALITIKA EU PROJEKATA'!$G$3:$G$34,'ANALITIKA EU PROJEKATA'!$A$3:$A$34,"=561",'ANALITIKA EU PROJEKATA'!$P$3:$P$34,"=454")</f>
        <v>0</v>
      </c>
      <c r="O57" s="138">
        <f>SUMIFS('Plan rashoda za unos u SAP'!$I$3:$I$501,'Plan rashoda za unos u SAP'!$C$3:$C$501,"=563",'Plan rashoda za unos u SAP'!$M$3:$M$501,"=454")+SUMIFS('ANALITIKA EU PROJEKATA'!$G$3:$G$34,'ANALITIKA EU PROJEKATA'!$A$3:$A$34,"=563",'ANALITIKA EU PROJEKATA'!$P$3:$P$34,"=454")</f>
        <v>0</v>
      </c>
      <c r="P57" s="138">
        <f>SUMIFS('Plan rashoda za unos u SAP'!$I$3:$I$501,'Plan rashoda za unos u SAP'!$C$3:$C$501,"=573",'Plan rashoda za unos u SAP'!$M$3:$M$501,"=454")+SUMIFS('ANALITIKA EU PROJEKATA'!$G$3:$G$34,'ANALITIKA EU PROJEKATA'!$A$3:$A$34,"=573",'ANALITIKA EU PROJEKATA'!$P$3:$P$34,"=454")</f>
        <v>0</v>
      </c>
      <c r="Q57" s="138">
        <f>SUMIFS('Plan rashoda za unos u SAP'!$I$3:$I$501,'Plan rashoda za unos u SAP'!$C$3:$C$501,"=575",'Plan rashoda za unos u SAP'!$M$3:$M$501,"=454")+SUMIFS('ANALITIKA EU PROJEKATA'!$G$3:$G$34,'ANALITIKA EU PROJEKATA'!$A$3:$A$34,"=575",'ANALITIKA EU PROJEKATA'!$P$3:$P$34,"=454")</f>
        <v>0</v>
      </c>
      <c r="R57" s="138">
        <f>SUMIFS('Plan rashoda za unos u SAP'!$I$3:$I$501,'Plan rashoda za unos u SAP'!$C$3:$C$501,"=576",'Plan rashoda za unos u SAP'!$M$3:$M$501,"=454")+SUMIFS('ANALITIKA EU PROJEKATA'!$G$3:$G$34,'ANALITIKA EU PROJEKATA'!$A$3:$A$34,"=576",'ANALITIKA EU PROJEKATA'!$P$3:$P$34,"=454")</f>
        <v>0</v>
      </c>
      <c r="S57" s="138">
        <f>SUMIFS('Plan rashoda za unos u SAP'!$I$3:$I$501,'Plan rashoda za unos u SAP'!$C$3:$C$501,"=581",'Plan rashoda za unos u SAP'!$M$3:$M$501,"=454")+SUMIFS('ANALITIKA EU PROJEKATA'!$G$3:$G$34,'ANALITIKA EU PROJEKATA'!$A$3:$A$34,"=581",'ANALITIKA EU PROJEKATA'!$P$3:$P$34,"=454")</f>
        <v>0</v>
      </c>
      <c r="T57" s="138">
        <f>SUMIFS('Plan rashoda za unos u SAP'!$I$3:$I$501,'Plan rashoda za unos u SAP'!$C$3:$C$501,"=61",'Plan rashoda za unos u SAP'!$M$3:$M$501,"=454")+SUMIFS('ANALITIKA EU PROJEKATA'!$G$3:$G$34,'ANALITIKA EU PROJEKATA'!$A$3:$A$34,"=61",'ANALITIKA EU PROJEKATA'!$P$3:$P$34,"=454")</f>
        <v>0</v>
      </c>
      <c r="U57" s="138">
        <f>SUMIFS('Plan rashoda za unos u SAP'!$I$3:$I$501,'Plan rashoda za unos u SAP'!$C$3:$C$501,"=63",'Plan rashoda za unos u SAP'!$M$3:$M$501,"=454")+SUMIFS('ANALITIKA EU PROJEKATA'!$G$3:$G$34,'ANALITIKA EU PROJEKATA'!$A$3:$A$34,"=63",'ANALITIKA EU PROJEKATA'!$P$3:$P$34,"=454")</f>
        <v>0</v>
      </c>
      <c r="V57" s="138">
        <f>SUMIFS('Plan rashoda za unos u SAP'!$I$3:$I$501,'Plan rashoda za unos u SAP'!$C$3:$C$501,"=71",'Plan rashoda za unos u SAP'!$M$3:$M$501,"=454")+SUMIFS('ANALITIKA EU PROJEKATA'!$G$3:$G$34,'ANALITIKA EU PROJEKATA'!$A$3:$A$34,"=71",'ANALITIKA EU PROJEKATA'!$P$3:$P$34,"=454")</f>
        <v>0</v>
      </c>
      <c r="W57" s="138">
        <f>SUMIFS('Plan rashoda za unos u SAP'!$I$3:$I$501,'Plan rashoda za unos u SAP'!$C$3:$C$501,"=81",'Plan rashoda za unos u SAP'!$M$3:$M$501,"=454")+SUMIFS('ANALITIKA EU PROJEKATA'!$G$3:$G$34,'ANALITIKA EU PROJEKATA'!$A$3:$A$34,"=81",'ANALITIKA EU PROJEKATA'!$P$3:$P$34,"=454")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PROJEKATA'!$G$3:$G$34,'ANALITIKA EU PROJEKATA'!$A$3:$A$34,"=11",'ANALITIKA EU PROJEKATA'!$P$3:$P$34,"=512")</f>
        <v>0</v>
      </c>
      <c r="F60" s="138">
        <f>SUMIFS('Plan rashoda za unos u SAP'!$I$3:$I$501,'Plan rashoda za unos u SAP'!$C$3:$C$501,"=12",'Plan rashoda za unos u SAP'!$M$3:$M$501,"=512")+SUMIFS('ANALITIKA EU PROJEKATA'!$G$3:$G$34,'ANALITIKA EU PROJEKATA'!$A$3:$A$34,"=12",'ANALITIKA EU PROJEKATA'!$P$3:$P$34,"=512")</f>
        <v>0</v>
      </c>
      <c r="G60" s="138">
        <f>SUMIFS('Plan rashoda za unos u SAP'!$I$3:$I$501,'Plan rashoda za unos u SAP'!$C$3:$C$501,"=31",'Plan rashoda za unos u SAP'!$M$3:$M$501,"=512")+SUMIFS('ANALITIKA EU PROJEKATA'!$G$3:$G$34,'ANALITIKA EU PROJEKATA'!$A$3:$A$34,"=31",'ANALITIKA EU PROJEKATA'!$P$3:$P$34,"=512")</f>
        <v>0</v>
      </c>
      <c r="H60" s="138">
        <f>SUMIFS('Plan rashoda za unos u SAP'!$I$3:$I$501,'Plan rashoda za unos u SAP'!$C$3:$C$501,"=41",'Plan rashoda za unos u SAP'!$M$3:$M$501,"=512")+SUMIFS('ANALITIKA EU PROJEKATA'!$G$3:$G$34,'ANALITIKA EU PROJEKATA'!$A$3:$A$34,"=41",'ANALITIKA EU PROJEKATA'!$P$3:$P$34,"=512")</f>
        <v>0</v>
      </c>
      <c r="I60" s="138">
        <f>SUMIFS('Plan rashoda za unos u SAP'!$I$3:$I$501,'Plan rashoda za unos u SAP'!$C$3:$C$501,"=43",'Plan rashoda za unos u SAP'!$M$3:$M$501,"=512")+SUMIFS('ANALITIKA EU PROJEKATA'!$G$3:$G$34,'ANALITIKA EU PROJEKATA'!$A$3:$A$34,"=43",'ANALITIKA EU PROJEKATA'!$P$3:$P$34,"=512")</f>
        <v>0</v>
      </c>
      <c r="J60" s="138">
        <f>SUMIFS('Plan rashoda za unos u SAP'!$I$3:$I$501,'Plan rashoda za unos u SAP'!$C$3:$C$501,"=51",'Plan rashoda za unos u SAP'!$M$3:$M$501,"=512")+SUMIFS('ANALITIKA EU PROJEKATA'!$G$3:$G$34,'ANALITIKA EU PROJEKATA'!$A$3:$A$34,"=51",'ANALITIKA EU PROJEKATA'!$P$3:$P$34,"=512")</f>
        <v>0</v>
      </c>
      <c r="K60" s="138">
        <f>SUMIFS('Plan rashoda za unos u SAP'!$I$3:$I$501,'Plan rashoda za unos u SAP'!$C$3:$C$501,"=52",'Plan rashoda za unos u SAP'!$M$3:$M$501,"=512")+SUMIFS('ANALITIKA EU PROJEKATA'!$G$3:$G$34,'ANALITIKA EU PROJEKATA'!$A$3:$A$34,"=52",'ANALITIKA EU PROJEKATA'!$P$3:$P$34,"=512")</f>
        <v>0</v>
      </c>
      <c r="L60" s="138">
        <f>SUMIFS('Plan rashoda za unos u SAP'!$I$3:$I$501,'Plan rashoda za unos u SAP'!$C$3:$C$501,"=552",'Plan rashoda za unos u SAP'!$M$3:$M$501,"=512")+SUMIFS('ANALITIKA EU PROJEKATA'!$G$3:$G$34,'ANALITIKA EU PROJEKATA'!$A$3:$A$34,"=552",'ANALITIKA EU PROJEKATA'!$P$3:$P$34,"=512")</f>
        <v>0</v>
      </c>
      <c r="M60" s="138">
        <f>SUMIFS('Plan rashoda za unos u SAP'!$I$3:$I$501,'Plan rashoda za unos u SAP'!$C$3:$C$501,"=559",'Plan rashoda za unos u SAP'!$M$3:$M$501,"=512")+SUMIFS('ANALITIKA EU PROJEKATA'!$G$3:$G$34,'ANALITIKA EU PROJEKATA'!$A$3:$A$34,"=559",'ANALITIKA EU PROJEKATA'!$P$3:$P$34,"=512")</f>
        <v>0</v>
      </c>
      <c r="N60" s="138">
        <f>SUMIFS('Plan rashoda za unos u SAP'!$I$3:$I$501,'Plan rashoda za unos u SAP'!$C$3:$C$501,"=561",'Plan rashoda za unos u SAP'!$M$3:$M$501,"=512")+SUMIFS('ANALITIKA EU PROJEKATA'!$G$3:$G$34,'ANALITIKA EU PROJEKATA'!$A$3:$A$34,"=561",'ANALITIKA EU PROJEKATA'!$P$3:$P$34,"=512")</f>
        <v>0</v>
      </c>
      <c r="O60" s="138">
        <f>SUMIFS('Plan rashoda za unos u SAP'!$I$3:$I$501,'Plan rashoda za unos u SAP'!$C$3:$C$501,"=563",'Plan rashoda za unos u SAP'!$M$3:$M$501,"=512")+SUMIFS('ANALITIKA EU PROJEKATA'!$G$3:$G$34,'ANALITIKA EU PROJEKATA'!$A$3:$A$34,"=563",'ANALITIKA EU PROJEKATA'!$P$3:$P$34,"=512")</f>
        <v>0</v>
      </c>
      <c r="P60" s="138">
        <f>SUMIFS('Plan rashoda za unos u SAP'!$I$3:$I$501,'Plan rashoda za unos u SAP'!$C$3:$C$501,"=573",'Plan rashoda za unos u SAP'!$M$3:$M$501,"=512")+SUMIFS('ANALITIKA EU PROJEKATA'!$G$3:$G$34,'ANALITIKA EU PROJEKATA'!$A$3:$A$34,"=573",'ANALITIKA EU PROJEKATA'!$P$3:$P$34,"=512")</f>
        <v>0</v>
      </c>
      <c r="Q60" s="138">
        <f>SUMIFS('Plan rashoda za unos u SAP'!$I$3:$I$501,'Plan rashoda za unos u SAP'!$C$3:$C$501,"=575",'Plan rashoda za unos u SAP'!$M$3:$M$501,"=512")+SUMIFS('ANALITIKA EU PROJEKATA'!$G$3:$G$34,'ANALITIKA EU PROJEKATA'!$A$3:$A$34,"=575",'ANALITIKA EU PROJEKATA'!$P$3:$P$34,"=512")</f>
        <v>0</v>
      </c>
      <c r="R60" s="138">
        <f>SUMIFS('Plan rashoda za unos u SAP'!$I$3:$I$501,'Plan rashoda za unos u SAP'!$C$3:$C$501,"=576",'Plan rashoda za unos u SAP'!$M$3:$M$501,"=512")+SUMIFS('ANALITIKA EU PROJEKATA'!$G$3:$G$34,'ANALITIKA EU PROJEKATA'!$A$3:$A$34,"=576",'ANALITIKA EU PROJEKATA'!$P$3:$P$34,"=512")</f>
        <v>0</v>
      </c>
      <c r="S60" s="138">
        <f>SUMIFS('Plan rashoda za unos u SAP'!$I$3:$I$501,'Plan rashoda za unos u SAP'!$C$3:$C$501,"=581",'Plan rashoda za unos u SAP'!$M$3:$M$501,"=512")+SUMIFS('ANALITIKA EU PROJEKATA'!$G$3:$G$34,'ANALITIKA EU PROJEKATA'!$A$3:$A$34,"=581",'ANALITIKA EU PROJEKATA'!$P$3:$P$34,"=512")</f>
        <v>0</v>
      </c>
      <c r="T60" s="138">
        <f>SUMIFS('Plan rashoda za unos u SAP'!$I$3:$I$501,'Plan rashoda za unos u SAP'!$C$3:$C$501,"=61",'Plan rashoda za unos u SAP'!$M$3:$M$501,"=512")+SUMIFS('ANALITIKA EU PROJEKATA'!$G$3:$G$34,'ANALITIKA EU PROJEKATA'!$A$3:$A$34,"=61",'ANALITIKA EU PROJEKATA'!$P$3:$P$34,"=512")</f>
        <v>0</v>
      </c>
      <c r="U60" s="138">
        <f>SUMIFS('Plan rashoda za unos u SAP'!$I$3:$I$501,'Plan rashoda za unos u SAP'!$C$3:$C$501,"=63",'Plan rashoda za unos u SAP'!$M$3:$M$501,"=512")+SUMIFS('ANALITIKA EU PROJEKATA'!$G$3:$G$34,'ANALITIKA EU PROJEKATA'!$A$3:$A$34,"=63",'ANALITIKA EU PROJEKATA'!$P$3:$P$34,"=512")</f>
        <v>0</v>
      </c>
      <c r="V60" s="138">
        <f>SUMIFS('Plan rashoda za unos u SAP'!$I$3:$I$501,'Plan rashoda za unos u SAP'!$C$3:$C$501,"=71",'Plan rashoda za unos u SAP'!$M$3:$M$501,"=512")+SUMIFS('ANALITIKA EU PROJEKATA'!$G$3:$G$34,'ANALITIKA EU PROJEKATA'!$A$3:$A$34,"=71",'ANALITIKA EU PROJEKATA'!$P$3:$P$34,"=512")</f>
        <v>0</v>
      </c>
      <c r="W60" s="138">
        <f>SUMIFS('Plan rashoda za unos u SAP'!$I$3:$I$501,'Plan rashoda za unos u SAP'!$C$3:$C$501,"=81",'Plan rashoda za unos u SAP'!$M$3:$M$501,"=512")+SUMIFS('ANALITIKA EU PROJEKATA'!$G$3:$G$34,'ANALITIKA EU PROJEKATA'!$A$3:$A$34,"=81",'ANALITIKA EU PROJEKATA'!$P$3:$P$34,"=512")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PROJEKATA'!$G$3:$G$34,'ANALITIKA EU PROJEKATA'!$A$3:$A$34,"=11",'ANALITIKA EU PROJEKATA'!$P$3:$P$34,"=514")</f>
        <v>0</v>
      </c>
      <c r="F61" s="138">
        <f>SUMIFS('Plan rashoda za unos u SAP'!$I$3:$I$501,'Plan rashoda za unos u SAP'!$C$3:$C$501,"=12",'Plan rashoda za unos u SAP'!$M$3:$M$501,"=514")+SUMIFS('ANALITIKA EU PROJEKATA'!$G$3:$G$34,'ANALITIKA EU PROJEKATA'!$A$3:$A$34,"=12",'ANALITIKA EU PROJEKATA'!$P$3:$P$34,"=514")</f>
        <v>0</v>
      </c>
      <c r="G61" s="138">
        <f>SUMIFS('Plan rashoda za unos u SAP'!$I$3:$I$501,'Plan rashoda za unos u SAP'!$C$3:$C$501,"=31",'Plan rashoda za unos u SAP'!$M$3:$M$501,"=514")+SUMIFS('ANALITIKA EU PROJEKATA'!$G$3:$G$34,'ANALITIKA EU PROJEKATA'!$A$3:$A$34,"=31",'ANALITIKA EU PROJEKATA'!$P$3:$P$34,"=514")</f>
        <v>0</v>
      </c>
      <c r="H61" s="138">
        <f>SUMIFS('Plan rashoda za unos u SAP'!$I$3:$I$501,'Plan rashoda za unos u SAP'!$C$3:$C$501,"=41",'Plan rashoda za unos u SAP'!$M$3:$M$501,"=514")+SUMIFS('ANALITIKA EU PROJEKATA'!$G$3:$G$34,'ANALITIKA EU PROJEKATA'!$A$3:$A$34,"=41",'ANALITIKA EU PROJEKATA'!$P$3:$P$34,"=514")</f>
        <v>0</v>
      </c>
      <c r="I61" s="138">
        <f>SUMIFS('Plan rashoda za unos u SAP'!$I$3:$I$501,'Plan rashoda za unos u SAP'!$C$3:$C$501,"=43",'Plan rashoda za unos u SAP'!$M$3:$M$501,"=514")+SUMIFS('ANALITIKA EU PROJEKATA'!$G$3:$G$34,'ANALITIKA EU PROJEKATA'!$A$3:$A$34,"=43",'ANALITIKA EU PROJEKATA'!$P$3:$P$34,"=514")</f>
        <v>0</v>
      </c>
      <c r="J61" s="138">
        <f>SUMIFS('Plan rashoda za unos u SAP'!$I$3:$I$501,'Plan rashoda za unos u SAP'!$C$3:$C$501,"=51",'Plan rashoda za unos u SAP'!$M$3:$M$501,"=514")+SUMIFS('ANALITIKA EU PROJEKATA'!$G$3:$G$34,'ANALITIKA EU PROJEKATA'!$A$3:$A$34,"=51",'ANALITIKA EU PROJEKATA'!$P$3:$P$34,"=514")</f>
        <v>0</v>
      </c>
      <c r="K61" s="138">
        <f>SUMIFS('Plan rashoda za unos u SAP'!$I$3:$I$501,'Plan rashoda za unos u SAP'!$C$3:$C$501,"=52",'Plan rashoda za unos u SAP'!$M$3:$M$501,"=514")+SUMIFS('ANALITIKA EU PROJEKATA'!$G$3:$G$34,'ANALITIKA EU PROJEKATA'!$A$3:$A$34,"=52",'ANALITIKA EU PROJEKATA'!$P$3:$P$34,"=514")</f>
        <v>0</v>
      </c>
      <c r="L61" s="138">
        <f>SUMIFS('Plan rashoda za unos u SAP'!$I$3:$I$501,'Plan rashoda za unos u SAP'!$C$3:$C$501,"=552",'Plan rashoda za unos u SAP'!$M$3:$M$501,"=514")+SUMIFS('ANALITIKA EU PROJEKATA'!$G$3:$G$34,'ANALITIKA EU PROJEKATA'!$A$3:$A$34,"=552",'ANALITIKA EU PROJEKATA'!$P$3:$P$34,"=514")</f>
        <v>0</v>
      </c>
      <c r="M61" s="138">
        <f>SUMIFS('Plan rashoda za unos u SAP'!$I$3:$I$501,'Plan rashoda za unos u SAP'!$C$3:$C$501,"=559",'Plan rashoda za unos u SAP'!$M$3:$M$501,"=514")+SUMIFS('ANALITIKA EU PROJEKATA'!$G$3:$G$34,'ANALITIKA EU PROJEKATA'!$A$3:$A$34,"=559",'ANALITIKA EU PROJEKATA'!$P$3:$P$34,"=514")</f>
        <v>0</v>
      </c>
      <c r="N61" s="138">
        <f>SUMIFS('Plan rashoda za unos u SAP'!$I$3:$I$501,'Plan rashoda za unos u SAP'!$C$3:$C$501,"=561",'Plan rashoda za unos u SAP'!$M$3:$M$501,"=514")+SUMIFS('ANALITIKA EU PROJEKATA'!$G$3:$G$34,'ANALITIKA EU PROJEKATA'!$A$3:$A$34,"=561",'ANALITIKA EU PROJEKATA'!$P$3:$P$34,"=514")</f>
        <v>0</v>
      </c>
      <c r="O61" s="138">
        <f>SUMIFS('Plan rashoda za unos u SAP'!$I$3:$I$501,'Plan rashoda za unos u SAP'!$C$3:$C$501,"=563",'Plan rashoda za unos u SAP'!$M$3:$M$501,"=514")+SUMIFS('ANALITIKA EU PROJEKATA'!$G$3:$G$34,'ANALITIKA EU PROJEKATA'!$A$3:$A$34,"=563",'ANALITIKA EU PROJEKATA'!$P$3:$P$34,"=514")</f>
        <v>0</v>
      </c>
      <c r="P61" s="138">
        <f>SUMIFS('Plan rashoda za unos u SAP'!$I$3:$I$501,'Plan rashoda za unos u SAP'!$C$3:$C$501,"=573",'Plan rashoda za unos u SAP'!$M$3:$M$501,"=514")+SUMIFS('ANALITIKA EU PROJEKATA'!$G$3:$G$34,'ANALITIKA EU PROJEKATA'!$A$3:$A$34,"=573",'ANALITIKA EU PROJEKATA'!$P$3:$P$34,"=514")</f>
        <v>0</v>
      </c>
      <c r="Q61" s="138">
        <f>SUMIFS('Plan rashoda za unos u SAP'!$I$3:$I$501,'Plan rashoda za unos u SAP'!$C$3:$C$501,"=575",'Plan rashoda za unos u SAP'!$M$3:$M$501,"=514")+SUMIFS('ANALITIKA EU PROJEKATA'!$G$3:$G$34,'ANALITIKA EU PROJEKATA'!$A$3:$A$34,"=575",'ANALITIKA EU PROJEKATA'!$P$3:$P$34,"=514")</f>
        <v>0</v>
      </c>
      <c r="R61" s="138">
        <f>SUMIFS('Plan rashoda za unos u SAP'!$I$3:$I$501,'Plan rashoda za unos u SAP'!$C$3:$C$501,"=576",'Plan rashoda za unos u SAP'!$M$3:$M$501,"=514")+SUMIFS('ANALITIKA EU PROJEKATA'!$G$3:$G$34,'ANALITIKA EU PROJEKATA'!$A$3:$A$34,"=576",'ANALITIKA EU PROJEKATA'!$P$3:$P$34,"=514")</f>
        <v>0</v>
      </c>
      <c r="S61" s="138">
        <f>SUMIFS('Plan rashoda za unos u SAP'!$I$3:$I$501,'Plan rashoda za unos u SAP'!$C$3:$C$501,"=581",'Plan rashoda za unos u SAP'!$M$3:$M$501,"=514")+SUMIFS('ANALITIKA EU PROJEKATA'!$G$3:$G$34,'ANALITIKA EU PROJEKATA'!$A$3:$A$34,"=581",'ANALITIKA EU PROJEKATA'!$P$3:$P$34,"=514")</f>
        <v>0</v>
      </c>
      <c r="T61" s="138">
        <f>SUMIFS('Plan rashoda za unos u SAP'!$I$3:$I$501,'Plan rashoda za unos u SAP'!$C$3:$C$501,"=61",'Plan rashoda za unos u SAP'!$M$3:$M$501,"=514")+SUMIFS('ANALITIKA EU PROJEKATA'!$G$3:$G$34,'ANALITIKA EU PROJEKATA'!$A$3:$A$34,"=61",'ANALITIKA EU PROJEKATA'!$P$3:$P$34,"=514")</f>
        <v>0</v>
      </c>
      <c r="U61" s="138">
        <f>SUMIFS('Plan rashoda za unos u SAP'!$I$3:$I$501,'Plan rashoda za unos u SAP'!$C$3:$C$501,"=63",'Plan rashoda za unos u SAP'!$M$3:$M$501,"=514")+SUMIFS('ANALITIKA EU PROJEKATA'!$G$3:$G$34,'ANALITIKA EU PROJEKATA'!$A$3:$A$34,"=63",'ANALITIKA EU PROJEKATA'!$P$3:$P$34,"=514")</f>
        <v>0</v>
      </c>
      <c r="V61" s="138">
        <f>SUMIFS('Plan rashoda za unos u SAP'!$I$3:$I$501,'Plan rashoda za unos u SAP'!$C$3:$C$501,"=71",'Plan rashoda za unos u SAP'!$M$3:$M$501,"=514")+SUMIFS('ANALITIKA EU PROJEKATA'!$G$3:$G$34,'ANALITIKA EU PROJEKATA'!$A$3:$A$34,"=71",'ANALITIKA EU PROJEKATA'!$P$3:$P$34,"=514")</f>
        <v>0</v>
      </c>
      <c r="W61" s="138">
        <f>SUMIFS('Plan rashoda za unos u SAP'!$I$3:$I$501,'Plan rashoda za unos u SAP'!$C$3:$C$501,"=81",'Plan rashoda za unos u SAP'!$M$3:$M$501,"=514")+SUMIFS('ANALITIKA EU PROJEKATA'!$G$3:$G$34,'ANALITIKA EU PROJEKATA'!$A$3:$A$34,"=81",'ANALITIKA EU PROJEKATA'!$P$3:$P$34,"=514")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PROJEKATA'!$G$3:$G$34,'ANALITIKA EU PROJEKATA'!$A$3:$A$34,"=11",'ANALITIKA EU PROJEKATA'!$P$3:$P$34,"=518")</f>
        <v>0</v>
      </c>
      <c r="F62" s="138">
        <f>SUMIFS('Plan rashoda za unos u SAP'!$I$3:$I$501,'Plan rashoda za unos u SAP'!$C$3:$C$501,"=12",'Plan rashoda za unos u SAP'!$M$3:$M$501,"=518")+SUMIFS('ANALITIKA EU PROJEKATA'!$G$3:$G$34,'ANALITIKA EU PROJEKATA'!$A$3:$A$34,"=12",'ANALITIKA EU PROJEKATA'!$P$3:$P$34,"=518")</f>
        <v>0</v>
      </c>
      <c r="G62" s="138">
        <f>SUMIFS('Plan rashoda za unos u SAP'!$I$3:$I$501,'Plan rashoda za unos u SAP'!$C$3:$C$501,"=31",'Plan rashoda za unos u SAP'!$M$3:$M$501,"=518")+SUMIFS('ANALITIKA EU PROJEKATA'!$G$3:$G$34,'ANALITIKA EU PROJEKATA'!$A$3:$A$34,"=31",'ANALITIKA EU PROJEKATA'!$P$3:$P$34,"=518")</f>
        <v>0</v>
      </c>
      <c r="H62" s="138">
        <f>SUMIFS('Plan rashoda za unos u SAP'!$I$3:$I$501,'Plan rashoda za unos u SAP'!$C$3:$C$501,"=41",'Plan rashoda za unos u SAP'!$M$3:$M$501,"=518")+SUMIFS('ANALITIKA EU PROJEKATA'!$G$3:$G$34,'ANALITIKA EU PROJEKATA'!$A$3:$A$34,"=41",'ANALITIKA EU PROJEKATA'!$P$3:$P$34,"=518")</f>
        <v>0</v>
      </c>
      <c r="I62" s="138">
        <f>SUMIFS('Plan rashoda za unos u SAP'!$I$3:$I$501,'Plan rashoda za unos u SAP'!$C$3:$C$501,"=43",'Plan rashoda za unos u SAP'!$M$3:$M$501,"=518")+SUMIFS('ANALITIKA EU PROJEKATA'!$G$3:$G$34,'ANALITIKA EU PROJEKATA'!$A$3:$A$34,"=43",'ANALITIKA EU PROJEKATA'!$P$3:$P$34,"=518")</f>
        <v>0</v>
      </c>
      <c r="J62" s="138">
        <f>SUMIFS('Plan rashoda za unos u SAP'!$I$3:$I$501,'Plan rashoda za unos u SAP'!$C$3:$C$501,"=51",'Plan rashoda za unos u SAP'!$M$3:$M$501,"=518")+SUMIFS('ANALITIKA EU PROJEKATA'!$G$3:$G$34,'ANALITIKA EU PROJEKATA'!$A$3:$A$34,"=51",'ANALITIKA EU PROJEKATA'!$P$3:$P$34,"=518")</f>
        <v>0</v>
      </c>
      <c r="K62" s="138">
        <f>SUMIFS('Plan rashoda za unos u SAP'!$I$3:$I$501,'Plan rashoda za unos u SAP'!$C$3:$C$501,"=52",'Plan rashoda za unos u SAP'!$M$3:$M$501,"=518")+SUMIFS('ANALITIKA EU PROJEKATA'!$G$3:$G$34,'ANALITIKA EU PROJEKATA'!$A$3:$A$34,"=52",'ANALITIKA EU PROJEKATA'!$P$3:$P$34,"=518")</f>
        <v>0</v>
      </c>
      <c r="L62" s="138">
        <f>SUMIFS('Plan rashoda za unos u SAP'!$I$3:$I$501,'Plan rashoda za unos u SAP'!$C$3:$C$501,"=552",'Plan rashoda za unos u SAP'!$M$3:$M$501,"=518")+SUMIFS('ANALITIKA EU PROJEKATA'!$G$3:$G$34,'ANALITIKA EU PROJEKATA'!$A$3:$A$34,"=552",'ANALITIKA EU PROJEKATA'!$P$3:$P$34,"=518")</f>
        <v>0</v>
      </c>
      <c r="M62" s="138">
        <f>SUMIFS('Plan rashoda za unos u SAP'!$I$3:$I$501,'Plan rashoda za unos u SAP'!$C$3:$C$501,"=559",'Plan rashoda za unos u SAP'!$M$3:$M$501,"=518")+SUMIFS('ANALITIKA EU PROJEKATA'!$G$3:$G$34,'ANALITIKA EU PROJEKATA'!$A$3:$A$34,"=559",'ANALITIKA EU PROJEKATA'!$P$3:$P$34,"=518")</f>
        <v>0</v>
      </c>
      <c r="N62" s="138">
        <f>SUMIFS('Plan rashoda za unos u SAP'!$I$3:$I$501,'Plan rashoda za unos u SAP'!$C$3:$C$501,"=561",'Plan rashoda za unos u SAP'!$M$3:$M$501,"=518")+SUMIFS('ANALITIKA EU PROJEKATA'!$G$3:$G$34,'ANALITIKA EU PROJEKATA'!$A$3:$A$34,"=561",'ANALITIKA EU PROJEKATA'!$P$3:$P$34,"=518")</f>
        <v>0</v>
      </c>
      <c r="O62" s="138">
        <f>SUMIFS('Plan rashoda za unos u SAP'!$I$3:$I$501,'Plan rashoda za unos u SAP'!$C$3:$C$501,"=563",'Plan rashoda za unos u SAP'!$M$3:$M$501,"=518")+SUMIFS('ANALITIKA EU PROJEKATA'!$G$3:$G$34,'ANALITIKA EU PROJEKATA'!$A$3:$A$34,"=563",'ANALITIKA EU PROJEKATA'!$P$3:$P$34,"=518")</f>
        <v>0</v>
      </c>
      <c r="P62" s="138">
        <f>SUMIFS('Plan rashoda za unos u SAP'!$I$3:$I$501,'Plan rashoda za unos u SAP'!$C$3:$C$501,"=573",'Plan rashoda za unos u SAP'!$M$3:$M$501,"=518")+SUMIFS('ANALITIKA EU PROJEKATA'!$G$3:$G$34,'ANALITIKA EU PROJEKATA'!$A$3:$A$34,"=573",'ANALITIKA EU PROJEKATA'!$P$3:$P$34,"=518")</f>
        <v>0</v>
      </c>
      <c r="Q62" s="138">
        <f>SUMIFS('Plan rashoda za unos u SAP'!$I$3:$I$501,'Plan rashoda za unos u SAP'!$C$3:$C$501,"=575",'Plan rashoda za unos u SAP'!$M$3:$M$501,"=518")+SUMIFS('ANALITIKA EU PROJEKATA'!$G$3:$G$34,'ANALITIKA EU PROJEKATA'!$A$3:$A$34,"=575",'ANALITIKA EU PROJEKATA'!$P$3:$P$34,"=518")</f>
        <v>0</v>
      </c>
      <c r="R62" s="138">
        <f>SUMIFS('Plan rashoda za unos u SAP'!$I$3:$I$501,'Plan rashoda za unos u SAP'!$C$3:$C$501,"=576",'Plan rashoda za unos u SAP'!$M$3:$M$501,"=518")+SUMIFS('ANALITIKA EU PROJEKATA'!$G$3:$G$34,'ANALITIKA EU PROJEKATA'!$A$3:$A$34,"=576",'ANALITIKA EU PROJEKATA'!$P$3:$P$34,"=518")</f>
        <v>0</v>
      </c>
      <c r="S62" s="138">
        <f>SUMIFS('Plan rashoda za unos u SAP'!$I$3:$I$501,'Plan rashoda za unos u SAP'!$C$3:$C$501,"=581",'Plan rashoda za unos u SAP'!$M$3:$M$501,"=518")+SUMIFS('ANALITIKA EU PROJEKATA'!$G$3:$G$34,'ANALITIKA EU PROJEKATA'!$A$3:$A$34,"=581",'ANALITIKA EU PROJEKATA'!$P$3:$P$34,"=518")</f>
        <v>0</v>
      </c>
      <c r="T62" s="138">
        <f>SUMIFS('Plan rashoda za unos u SAP'!$I$3:$I$501,'Plan rashoda za unos u SAP'!$C$3:$C$501,"=61",'Plan rashoda za unos u SAP'!$M$3:$M$501,"=518")+SUMIFS('ANALITIKA EU PROJEKATA'!$G$3:$G$34,'ANALITIKA EU PROJEKATA'!$A$3:$A$34,"=61",'ANALITIKA EU PROJEKATA'!$P$3:$P$34,"=518")</f>
        <v>0</v>
      </c>
      <c r="U62" s="138">
        <f>SUMIFS('Plan rashoda za unos u SAP'!$I$3:$I$501,'Plan rashoda za unos u SAP'!$C$3:$C$501,"=63",'Plan rashoda za unos u SAP'!$M$3:$M$501,"=518")+SUMIFS('ANALITIKA EU PROJEKATA'!$G$3:$G$34,'ANALITIKA EU PROJEKATA'!$A$3:$A$34,"=63",'ANALITIKA EU PROJEKATA'!$P$3:$P$34,"=518")</f>
        <v>0</v>
      </c>
      <c r="V62" s="138">
        <f>SUMIFS('Plan rashoda za unos u SAP'!$I$3:$I$501,'Plan rashoda za unos u SAP'!$C$3:$C$501,"=71",'Plan rashoda za unos u SAP'!$M$3:$M$501,"=518")+SUMIFS('ANALITIKA EU PROJEKATA'!$G$3:$G$34,'ANALITIKA EU PROJEKATA'!$A$3:$A$34,"=71",'ANALITIKA EU PROJEKATA'!$P$3:$P$34,"=518")</f>
        <v>0</v>
      </c>
      <c r="W62" s="138">
        <f>SUMIFS('Plan rashoda za unos u SAP'!$I$3:$I$501,'Plan rashoda za unos u SAP'!$C$3:$C$501,"=81",'Plan rashoda za unos u SAP'!$M$3:$M$501,"=518")+SUMIFS('ANALITIKA EU PROJEKATA'!$G$3:$G$34,'ANALITIKA EU PROJEKATA'!$A$3:$A$34,"=81",'ANALITIKA EU PROJEKATA'!$P$3:$P$34,"=518")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PROJEKATA'!$G$3:$G$34,'ANALITIKA EU PROJEKATA'!$A$3:$A$34,"=11",'ANALITIKA EU PROJEKATA'!$P$3:$P$34,"=542")</f>
        <v>0</v>
      </c>
      <c r="F64" s="138">
        <f>SUMIFS('Plan rashoda za unos u SAP'!$I$3:$I$501,'Plan rashoda za unos u SAP'!$C$3:$C$501,"=12",'Plan rashoda za unos u SAP'!$M$3:$M$501,"=542")+SUMIFS('ANALITIKA EU PROJEKATA'!$G$3:$G$34,'ANALITIKA EU PROJEKATA'!$A$3:$A$34,"=12",'ANALITIKA EU PROJEKATA'!$P$3:$P$34,"=542")</f>
        <v>0</v>
      </c>
      <c r="G64" s="138">
        <f>SUMIFS('Plan rashoda za unos u SAP'!$I$3:$I$501,'Plan rashoda za unos u SAP'!$C$3:$C$501,"=31",'Plan rashoda za unos u SAP'!$M$3:$M$501,"=542")+SUMIFS('ANALITIKA EU PROJEKATA'!$G$3:$G$34,'ANALITIKA EU PROJEKATA'!$A$3:$A$34,"=31",'ANALITIKA EU PROJEKATA'!$P$3:$P$34,"=542")</f>
        <v>0</v>
      </c>
      <c r="H64" s="138">
        <f>SUMIFS('Plan rashoda za unos u SAP'!$I$3:$I$501,'Plan rashoda za unos u SAP'!$C$3:$C$501,"=41",'Plan rashoda za unos u SAP'!$M$3:$M$501,"=542")+SUMIFS('ANALITIKA EU PROJEKATA'!$G$3:$G$34,'ANALITIKA EU PROJEKATA'!$A$3:$A$34,"=41",'ANALITIKA EU PROJEKATA'!$P$3:$P$34,"=542")</f>
        <v>0</v>
      </c>
      <c r="I64" s="138">
        <f>SUMIFS('Plan rashoda za unos u SAP'!$I$3:$I$501,'Plan rashoda za unos u SAP'!$C$3:$C$501,"=43",'Plan rashoda za unos u SAP'!$M$3:$M$501,"=542")+SUMIFS('ANALITIKA EU PROJEKATA'!$G$3:$G$34,'ANALITIKA EU PROJEKATA'!$A$3:$A$34,"=43",'ANALITIKA EU PROJEKATA'!$P$3:$P$34,"=542")</f>
        <v>0</v>
      </c>
      <c r="J64" s="138">
        <f>SUMIFS('Plan rashoda za unos u SAP'!$I$3:$I$501,'Plan rashoda za unos u SAP'!$C$3:$C$501,"=51",'Plan rashoda za unos u SAP'!$M$3:$M$501,"=542")+SUMIFS('ANALITIKA EU PROJEKATA'!$G$3:$G$34,'ANALITIKA EU PROJEKATA'!$A$3:$A$34,"=51",'ANALITIKA EU PROJEKATA'!$P$3:$P$34,"=542")</f>
        <v>0</v>
      </c>
      <c r="K64" s="138">
        <f>SUMIFS('Plan rashoda za unos u SAP'!$I$3:$I$501,'Plan rashoda za unos u SAP'!$C$3:$C$501,"=52",'Plan rashoda za unos u SAP'!$M$3:$M$501,"=542")+SUMIFS('ANALITIKA EU PROJEKATA'!$G$3:$G$34,'ANALITIKA EU PROJEKATA'!$A$3:$A$34,"=52",'ANALITIKA EU PROJEKATA'!$P$3:$P$34,"=542")</f>
        <v>0</v>
      </c>
      <c r="L64" s="138">
        <f>SUMIFS('Plan rashoda za unos u SAP'!$I$3:$I$501,'Plan rashoda za unos u SAP'!$C$3:$C$501,"=552",'Plan rashoda za unos u SAP'!$M$3:$M$501,"=542")+SUMIFS('ANALITIKA EU PROJEKATA'!$G$3:$G$34,'ANALITIKA EU PROJEKATA'!$A$3:$A$34,"=552",'ANALITIKA EU PROJEKATA'!$P$3:$P$34,"=542")</f>
        <v>0</v>
      </c>
      <c r="M64" s="138">
        <f>SUMIFS('Plan rashoda za unos u SAP'!$I$3:$I$501,'Plan rashoda za unos u SAP'!$C$3:$C$501,"=559",'Plan rashoda za unos u SAP'!$M$3:$M$501,"=542")+SUMIFS('ANALITIKA EU PROJEKATA'!$G$3:$G$34,'ANALITIKA EU PROJEKATA'!$A$3:$A$34,"=559",'ANALITIKA EU PROJEKATA'!$P$3:$P$34,"=542")</f>
        <v>0</v>
      </c>
      <c r="N64" s="138">
        <f>SUMIFS('Plan rashoda za unos u SAP'!$I$3:$I$501,'Plan rashoda za unos u SAP'!$C$3:$C$501,"=561",'Plan rashoda za unos u SAP'!$M$3:$M$501,"=542")+SUMIFS('ANALITIKA EU PROJEKATA'!$G$3:$G$34,'ANALITIKA EU PROJEKATA'!$A$3:$A$34,"=561",'ANALITIKA EU PROJEKATA'!$P$3:$P$34,"=542")</f>
        <v>0</v>
      </c>
      <c r="O64" s="138">
        <f>SUMIFS('Plan rashoda za unos u SAP'!$I$3:$I$501,'Plan rashoda za unos u SAP'!$C$3:$C$501,"=563",'Plan rashoda za unos u SAP'!$M$3:$M$501,"=542")+SUMIFS('ANALITIKA EU PROJEKATA'!$G$3:$G$34,'ANALITIKA EU PROJEKATA'!$A$3:$A$34,"=563",'ANALITIKA EU PROJEKATA'!$P$3:$P$34,"=542")</f>
        <v>0</v>
      </c>
      <c r="P64" s="138">
        <f>SUMIFS('Plan rashoda za unos u SAP'!$I$3:$I$501,'Plan rashoda za unos u SAP'!$C$3:$C$501,"=573",'Plan rashoda za unos u SAP'!$M$3:$M$501,"=542")+SUMIFS('ANALITIKA EU PROJEKATA'!$G$3:$G$34,'ANALITIKA EU PROJEKATA'!$A$3:$A$34,"=573",'ANALITIKA EU PROJEKATA'!$P$3:$P$34,"=542")</f>
        <v>0</v>
      </c>
      <c r="Q64" s="138">
        <f>SUMIFS('Plan rashoda za unos u SAP'!$I$3:$I$501,'Plan rashoda za unos u SAP'!$C$3:$C$501,"=575",'Plan rashoda za unos u SAP'!$M$3:$M$501,"=542")+SUMIFS('ANALITIKA EU PROJEKATA'!$G$3:$G$34,'ANALITIKA EU PROJEKATA'!$A$3:$A$34,"=575",'ANALITIKA EU PROJEKATA'!$P$3:$P$34,"=542")</f>
        <v>0</v>
      </c>
      <c r="R64" s="138">
        <f>SUMIFS('Plan rashoda za unos u SAP'!$I$3:$I$501,'Plan rashoda za unos u SAP'!$C$3:$C$501,"=576",'Plan rashoda za unos u SAP'!$M$3:$M$501,"=542")+SUMIFS('ANALITIKA EU PROJEKATA'!$G$3:$G$34,'ANALITIKA EU PROJEKATA'!$A$3:$A$34,"=576",'ANALITIKA EU PROJEKATA'!$P$3:$P$34,"=542")</f>
        <v>0</v>
      </c>
      <c r="S64" s="138">
        <f>SUMIFS('Plan rashoda za unos u SAP'!$I$3:$I$501,'Plan rashoda za unos u SAP'!$C$3:$C$501,"=581",'Plan rashoda za unos u SAP'!$M$3:$M$501,"=542")+SUMIFS('ANALITIKA EU PROJEKATA'!$G$3:$G$34,'ANALITIKA EU PROJEKATA'!$A$3:$A$34,"=581",'ANALITIKA EU PROJEKATA'!$P$3:$P$34,"=542")</f>
        <v>0</v>
      </c>
      <c r="T64" s="138">
        <f>SUMIFS('Plan rashoda za unos u SAP'!$I$3:$I$501,'Plan rashoda za unos u SAP'!$C$3:$C$501,"=61",'Plan rashoda za unos u SAP'!$M$3:$M$501,"=542")+SUMIFS('ANALITIKA EU PROJEKATA'!$G$3:$G$34,'ANALITIKA EU PROJEKATA'!$A$3:$A$34,"=61",'ANALITIKA EU PROJEKATA'!$P$3:$P$34,"=542")</f>
        <v>0</v>
      </c>
      <c r="U64" s="138">
        <f>SUMIFS('Plan rashoda za unos u SAP'!$I$3:$I$501,'Plan rashoda za unos u SAP'!$C$3:$C$501,"=63",'Plan rashoda za unos u SAP'!$M$3:$M$501,"=542")+SUMIFS('ANALITIKA EU PROJEKATA'!$G$3:$G$34,'ANALITIKA EU PROJEKATA'!$A$3:$A$34,"=63",'ANALITIKA EU PROJEKATA'!$P$3:$P$34,"=542")</f>
        <v>0</v>
      </c>
      <c r="V64" s="138">
        <f>SUMIFS('Plan rashoda za unos u SAP'!$I$3:$I$501,'Plan rashoda za unos u SAP'!$C$3:$C$501,"=71",'Plan rashoda za unos u SAP'!$M$3:$M$501,"=542")+SUMIFS('ANALITIKA EU PROJEKATA'!$G$3:$G$34,'ANALITIKA EU PROJEKATA'!$A$3:$A$34,"=71",'ANALITIKA EU PROJEKATA'!$P$3:$P$34,"=542")</f>
        <v>0</v>
      </c>
      <c r="W64" s="138">
        <f>SUMIFS('Plan rashoda za unos u SAP'!$I$3:$I$501,'Plan rashoda za unos u SAP'!$C$3:$C$501,"=81",'Plan rashoda za unos u SAP'!$M$3:$M$501,"=542")+SUMIFS('ANALITIKA EU PROJEKATA'!$G$3:$G$34,'ANALITIKA EU PROJEKATA'!$A$3:$A$34,"=81",'ANALITIKA EU PROJEKATA'!$P$3:$P$34,"=542")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PROJEKATA'!$G$3:$G$34,'ANALITIKA EU PROJEKATA'!$A$3:$A$34,"=11",'ANALITIKA EU PROJEKATA'!$P$3:$P$34,"=543")</f>
        <v>0</v>
      </c>
      <c r="F65" s="138">
        <f>SUMIFS('Plan rashoda za unos u SAP'!$I$3:$I$501,'Plan rashoda za unos u SAP'!$C$3:$C$501,"=12",'Plan rashoda za unos u SAP'!$M$3:$M$501,"=543")+SUMIFS('ANALITIKA EU PROJEKATA'!$G$3:$G$34,'ANALITIKA EU PROJEKATA'!$A$3:$A$34,"=12",'ANALITIKA EU PROJEKATA'!$P$3:$P$34,"=543")</f>
        <v>0</v>
      </c>
      <c r="G65" s="138">
        <f>SUMIFS('Plan rashoda za unos u SAP'!$I$3:$I$501,'Plan rashoda za unos u SAP'!$C$3:$C$501,"=31",'Plan rashoda za unos u SAP'!$M$3:$M$501,"=543")+SUMIFS('ANALITIKA EU PROJEKATA'!$G$3:$G$34,'ANALITIKA EU PROJEKATA'!$A$3:$A$34,"=31",'ANALITIKA EU PROJEKATA'!$P$3:$P$34,"=543")</f>
        <v>0</v>
      </c>
      <c r="H65" s="138">
        <f>SUMIFS('Plan rashoda za unos u SAP'!$I$3:$I$501,'Plan rashoda za unos u SAP'!$C$3:$C$501,"=41",'Plan rashoda za unos u SAP'!$M$3:$M$501,"=543")+SUMIFS('ANALITIKA EU PROJEKATA'!$G$3:$G$34,'ANALITIKA EU PROJEKATA'!$A$3:$A$34,"=41",'ANALITIKA EU PROJEKATA'!$P$3:$P$34,"=543")</f>
        <v>0</v>
      </c>
      <c r="I65" s="138">
        <f>SUMIFS('Plan rashoda za unos u SAP'!$I$3:$I$501,'Plan rashoda za unos u SAP'!$C$3:$C$501,"=43",'Plan rashoda za unos u SAP'!$M$3:$M$501,"=543")+SUMIFS('ANALITIKA EU PROJEKATA'!$G$3:$G$34,'ANALITIKA EU PROJEKATA'!$A$3:$A$34,"=43",'ANALITIKA EU PROJEKATA'!$P$3:$P$34,"=543")</f>
        <v>0</v>
      </c>
      <c r="J65" s="138">
        <f>SUMIFS('Plan rashoda za unos u SAP'!$I$3:$I$501,'Plan rashoda za unos u SAP'!$C$3:$C$501,"=51",'Plan rashoda za unos u SAP'!$M$3:$M$501,"=543")+SUMIFS('ANALITIKA EU PROJEKATA'!$G$3:$G$34,'ANALITIKA EU PROJEKATA'!$A$3:$A$34,"=51",'ANALITIKA EU PROJEKATA'!$P$3:$P$34,"=543")</f>
        <v>0</v>
      </c>
      <c r="K65" s="138">
        <f>SUMIFS('Plan rashoda za unos u SAP'!$I$3:$I$501,'Plan rashoda za unos u SAP'!$C$3:$C$501,"=52",'Plan rashoda za unos u SAP'!$M$3:$M$501,"=543")+SUMIFS('ANALITIKA EU PROJEKATA'!$G$3:$G$34,'ANALITIKA EU PROJEKATA'!$A$3:$A$34,"=52",'ANALITIKA EU PROJEKATA'!$P$3:$P$34,"=543")</f>
        <v>0</v>
      </c>
      <c r="L65" s="138">
        <f>SUMIFS('Plan rashoda za unos u SAP'!$I$3:$I$501,'Plan rashoda za unos u SAP'!$C$3:$C$501,"=552",'Plan rashoda za unos u SAP'!$M$3:$M$501,"=543")+SUMIFS('ANALITIKA EU PROJEKATA'!$G$3:$G$34,'ANALITIKA EU PROJEKATA'!$A$3:$A$34,"=552",'ANALITIKA EU PROJEKATA'!$P$3:$P$34,"=543")</f>
        <v>0</v>
      </c>
      <c r="M65" s="138">
        <f>SUMIFS('Plan rashoda za unos u SAP'!$I$3:$I$501,'Plan rashoda za unos u SAP'!$C$3:$C$501,"=559",'Plan rashoda za unos u SAP'!$M$3:$M$501,"=543")+SUMIFS('ANALITIKA EU PROJEKATA'!$G$3:$G$34,'ANALITIKA EU PROJEKATA'!$A$3:$A$34,"=559",'ANALITIKA EU PROJEKATA'!$P$3:$P$34,"=543")</f>
        <v>0</v>
      </c>
      <c r="N65" s="138">
        <f>SUMIFS('Plan rashoda za unos u SAP'!$I$3:$I$501,'Plan rashoda za unos u SAP'!$C$3:$C$501,"=561",'Plan rashoda za unos u SAP'!$M$3:$M$501,"=543")+SUMIFS('ANALITIKA EU PROJEKATA'!$G$3:$G$34,'ANALITIKA EU PROJEKATA'!$A$3:$A$34,"=561",'ANALITIKA EU PROJEKATA'!$P$3:$P$34,"=543")</f>
        <v>0</v>
      </c>
      <c r="O65" s="138">
        <f>SUMIFS('Plan rashoda za unos u SAP'!$I$3:$I$501,'Plan rashoda za unos u SAP'!$C$3:$C$501,"=563",'Plan rashoda za unos u SAP'!$M$3:$M$501,"=543")+SUMIFS('ANALITIKA EU PROJEKATA'!$G$3:$G$34,'ANALITIKA EU PROJEKATA'!$A$3:$A$34,"=563",'ANALITIKA EU PROJEKATA'!$P$3:$P$34,"=543")</f>
        <v>0</v>
      </c>
      <c r="P65" s="138">
        <f>SUMIFS('Plan rashoda za unos u SAP'!$I$3:$I$501,'Plan rashoda za unos u SAP'!$C$3:$C$501,"=573",'Plan rashoda za unos u SAP'!$M$3:$M$501,"=543")+SUMIFS('ANALITIKA EU PROJEKATA'!$G$3:$G$34,'ANALITIKA EU PROJEKATA'!$A$3:$A$34,"=573",'ANALITIKA EU PROJEKATA'!$P$3:$P$34,"=543")</f>
        <v>0</v>
      </c>
      <c r="Q65" s="138">
        <f>SUMIFS('Plan rashoda za unos u SAP'!$I$3:$I$501,'Plan rashoda za unos u SAP'!$C$3:$C$501,"=575",'Plan rashoda za unos u SAP'!$M$3:$M$501,"=543")+SUMIFS('ANALITIKA EU PROJEKATA'!$G$3:$G$34,'ANALITIKA EU PROJEKATA'!$A$3:$A$34,"=575",'ANALITIKA EU PROJEKATA'!$P$3:$P$34,"=543")</f>
        <v>0</v>
      </c>
      <c r="R65" s="138">
        <f>SUMIFS('Plan rashoda za unos u SAP'!$I$3:$I$501,'Plan rashoda za unos u SAP'!$C$3:$C$501,"=576",'Plan rashoda za unos u SAP'!$M$3:$M$501,"=543")+SUMIFS('ANALITIKA EU PROJEKATA'!$G$3:$G$34,'ANALITIKA EU PROJEKATA'!$A$3:$A$34,"=576",'ANALITIKA EU PROJEKATA'!$P$3:$P$34,"=543")</f>
        <v>0</v>
      </c>
      <c r="S65" s="138">
        <f>SUMIFS('Plan rashoda za unos u SAP'!$I$3:$I$501,'Plan rashoda za unos u SAP'!$C$3:$C$501,"=581",'Plan rashoda za unos u SAP'!$M$3:$M$501,"=543")+SUMIFS('ANALITIKA EU PROJEKATA'!$G$3:$G$34,'ANALITIKA EU PROJEKATA'!$A$3:$A$34,"=581",'ANALITIKA EU PROJEKATA'!$P$3:$P$34,"=543")</f>
        <v>0</v>
      </c>
      <c r="T65" s="138">
        <f>SUMIFS('Plan rashoda za unos u SAP'!$I$3:$I$501,'Plan rashoda za unos u SAP'!$C$3:$C$501,"=61",'Plan rashoda za unos u SAP'!$M$3:$M$501,"=543")+SUMIFS('ANALITIKA EU PROJEKATA'!$G$3:$G$34,'ANALITIKA EU PROJEKATA'!$A$3:$A$34,"=61",'ANALITIKA EU PROJEKATA'!$P$3:$P$34,"=543")</f>
        <v>0</v>
      </c>
      <c r="U65" s="138">
        <f>SUMIFS('Plan rashoda za unos u SAP'!$I$3:$I$501,'Plan rashoda za unos u SAP'!$C$3:$C$501,"=63",'Plan rashoda za unos u SAP'!$M$3:$M$501,"=543")+SUMIFS('ANALITIKA EU PROJEKATA'!$G$3:$G$34,'ANALITIKA EU PROJEKATA'!$A$3:$A$34,"=63",'ANALITIKA EU PROJEKATA'!$P$3:$P$34,"=543")</f>
        <v>0</v>
      </c>
      <c r="V65" s="138">
        <f>SUMIFS('Plan rashoda za unos u SAP'!$I$3:$I$501,'Plan rashoda za unos u SAP'!$C$3:$C$501,"=71",'Plan rashoda za unos u SAP'!$M$3:$M$501,"=543")+SUMIFS('ANALITIKA EU PROJEKATA'!$G$3:$G$34,'ANALITIKA EU PROJEKATA'!$A$3:$A$34,"=71",'ANALITIKA EU PROJEKATA'!$P$3:$P$34,"=543")</f>
        <v>0</v>
      </c>
      <c r="W65" s="138">
        <f>SUMIFS('Plan rashoda za unos u SAP'!$I$3:$I$501,'Plan rashoda za unos u SAP'!$C$3:$C$501,"=81",'Plan rashoda za unos u SAP'!$M$3:$M$501,"=543")+SUMIFS('ANALITIKA EU PROJEKATA'!$G$3:$G$34,'ANALITIKA EU PROJEKATA'!$A$3:$A$34,"=81",'ANALITIKA EU PROJEKATA'!$P$3:$P$34,"=543")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PROJEKATA'!$G$3:$G$34,'ANALITIKA EU PROJEKATA'!$A$3:$A$34,"=11",'ANALITIKA EU PROJEKATA'!$P$3:$P$34,"=544")</f>
        <v>0</v>
      </c>
      <c r="F66" s="138">
        <f>SUMIFS('Plan rashoda za unos u SAP'!$I$3:$I$501,'Plan rashoda za unos u SAP'!$C$3:$C$501,"=12",'Plan rashoda za unos u SAP'!$M$3:$M$501,"=544")+SUMIFS('ANALITIKA EU PROJEKATA'!$G$3:$G$34,'ANALITIKA EU PROJEKATA'!$A$3:$A$34,"=12",'ANALITIKA EU PROJEKATA'!$P$3:$P$34,"=544")</f>
        <v>0</v>
      </c>
      <c r="G66" s="138">
        <f>SUMIFS('Plan rashoda za unos u SAP'!$I$3:$I$501,'Plan rashoda za unos u SAP'!$C$3:$C$501,"=31",'Plan rashoda za unos u SAP'!$M$3:$M$501,"=544")+SUMIFS('ANALITIKA EU PROJEKATA'!$G$3:$G$34,'ANALITIKA EU PROJEKATA'!$A$3:$A$34,"=31",'ANALITIKA EU PROJEKATA'!$P$3:$P$34,"=544")</f>
        <v>0</v>
      </c>
      <c r="H66" s="138">
        <f>SUMIFS('Plan rashoda za unos u SAP'!$I$3:$I$501,'Plan rashoda za unos u SAP'!$C$3:$C$501,"=41",'Plan rashoda za unos u SAP'!$M$3:$M$501,"=544")+SUMIFS('ANALITIKA EU PROJEKATA'!$G$3:$G$34,'ANALITIKA EU PROJEKATA'!$A$3:$A$34,"=41",'ANALITIKA EU PROJEKATA'!$P$3:$P$34,"=544")</f>
        <v>0</v>
      </c>
      <c r="I66" s="138">
        <f>SUMIFS('Plan rashoda za unos u SAP'!$I$3:$I$501,'Plan rashoda za unos u SAP'!$C$3:$C$501,"=43",'Plan rashoda za unos u SAP'!$M$3:$M$501,"=544")+SUMIFS('ANALITIKA EU PROJEKATA'!$G$3:$G$34,'ANALITIKA EU PROJEKATA'!$A$3:$A$34,"=43",'ANALITIKA EU PROJEKATA'!$P$3:$P$34,"=544")</f>
        <v>0</v>
      </c>
      <c r="J66" s="138">
        <f>SUMIFS('Plan rashoda za unos u SAP'!$I$3:$I$501,'Plan rashoda za unos u SAP'!$C$3:$C$501,"=51",'Plan rashoda za unos u SAP'!$M$3:$M$501,"=544")+SUMIFS('ANALITIKA EU PROJEKATA'!$G$3:$G$34,'ANALITIKA EU PROJEKATA'!$A$3:$A$34,"=51",'ANALITIKA EU PROJEKATA'!$P$3:$P$34,"=544")</f>
        <v>0</v>
      </c>
      <c r="K66" s="138">
        <f>SUMIFS('Plan rashoda za unos u SAP'!$I$3:$I$501,'Plan rashoda za unos u SAP'!$C$3:$C$501,"=52",'Plan rashoda za unos u SAP'!$M$3:$M$501,"=544")+SUMIFS('ANALITIKA EU PROJEKATA'!$G$3:$G$34,'ANALITIKA EU PROJEKATA'!$A$3:$A$34,"=52",'ANALITIKA EU PROJEKATA'!$P$3:$P$34,"=544")</f>
        <v>0</v>
      </c>
      <c r="L66" s="138">
        <f>SUMIFS('Plan rashoda za unos u SAP'!$I$3:$I$501,'Plan rashoda za unos u SAP'!$C$3:$C$501,"=552",'Plan rashoda za unos u SAP'!$M$3:$M$501,"=544")+SUMIFS('ANALITIKA EU PROJEKATA'!$G$3:$G$34,'ANALITIKA EU PROJEKATA'!$A$3:$A$34,"=552",'ANALITIKA EU PROJEKATA'!$P$3:$P$34,"=544")</f>
        <v>0</v>
      </c>
      <c r="M66" s="138">
        <f>SUMIFS('Plan rashoda za unos u SAP'!$I$3:$I$501,'Plan rashoda za unos u SAP'!$C$3:$C$501,"=559",'Plan rashoda za unos u SAP'!$M$3:$M$501,"=544")+SUMIFS('ANALITIKA EU PROJEKATA'!$G$3:$G$34,'ANALITIKA EU PROJEKATA'!$A$3:$A$34,"=559",'ANALITIKA EU PROJEKATA'!$P$3:$P$34,"=544")</f>
        <v>0</v>
      </c>
      <c r="N66" s="138">
        <f>SUMIFS('Plan rashoda za unos u SAP'!$I$3:$I$501,'Plan rashoda za unos u SAP'!$C$3:$C$501,"=561",'Plan rashoda za unos u SAP'!$M$3:$M$501,"=544")+SUMIFS('ANALITIKA EU PROJEKATA'!$G$3:$G$34,'ANALITIKA EU PROJEKATA'!$A$3:$A$34,"=561",'ANALITIKA EU PROJEKATA'!$P$3:$P$34,"=544")</f>
        <v>0</v>
      </c>
      <c r="O66" s="138">
        <f>SUMIFS('Plan rashoda za unos u SAP'!$I$3:$I$501,'Plan rashoda za unos u SAP'!$C$3:$C$501,"=563",'Plan rashoda za unos u SAP'!$M$3:$M$501,"=544")+SUMIFS('ANALITIKA EU PROJEKATA'!$G$3:$G$34,'ANALITIKA EU PROJEKATA'!$A$3:$A$34,"=563",'ANALITIKA EU PROJEKATA'!$P$3:$P$34,"=544")</f>
        <v>0</v>
      </c>
      <c r="P66" s="138">
        <f>SUMIFS('Plan rashoda za unos u SAP'!$I$3:$I$501,'Plan rashoda za unos u SAP'!$C$3:$C$501,"=573",'Plan rashoda za unos u SAP'!$M$3:$M$501,"=544")+SUMIFS('ANALITIKA EU PROJEKATA'!$G$3:$G$34,'ANALITIKA EU PROJEKATA'!$A$3:$A$34,"=573",'ANALITIKA EU PROJEKATA'!$P$3:$P$34,"=544")</f>
        <v>0</v>
      </c>
      <c r="Q66" s="138">
        <f>SUMIFS('Plan rashoda za unos u SAP'!$I$3:$I$501,'Plan rashoda za unos u SAP'!$C$3:$C$501,"=575",'Plan rashoda za unos u SAP'!$M$3:$M$501,"=544")+SUMIFS('ANALITIKA EU PROJEKATA'!$G$3:$G$34,'ANALITIKA EU PROJEKATA'!$A$3:$A$34,"=575",'ANALITIKA EU PROJEKATA'!$P$3:$P$34,"=544")</f>
        <v>0</v>
      </c>
      <c r="R66" s="138">
        <f>SUMIFS('Plan rashoda za unos u SAP'!$I$3:$I$501,'Plan rashoda za unos u SAP'!$C$3:$C$501,"=576",'Plan rashoda za unos u SAP'!$M$3:$M$501,"=544")+SUMIFS('ANALITIKA EU PROJEKATA'!$G$3:$G$34,'ANALITIKA EU PROJEKATA'!$A$3:$A$34,"=576",'ANALITIKA EU PROJEKATA'!$P$3:$P$34,"=544")</f>
        <v>0</v>
      </c>
      <c r="S66" s="138">
        <f>SUMIFS('Plan rashoda za unos u SAP'!$I$3:$I$501,'Plan rashoda za unos u SAP'!$C$3:$C$501,"=581",'Plan rashoda za unos u SAP'!$M$3:$M$501,"=544")+SUMIFS('ANALITIKA EU PROJEKATA'!$G$3:$G$34,'ANALITIKA EU PROJEKATA'!$A$3:$A$34,"=581",'ANALITIKA EU PROJEKATA'!$P$3:$P$34,"=544")</f>
        <v>0</v>
      </c>
      <c r="T66" s="138">
        <f>SUMIFS('Plan rashoda za unos u SAP'!$I$3:$I$501,'Plan rashoda za unos u SAP'!$C$3:$C$501,"=61",'Plan rashoda za unos u SAP'!$M$3:$M$501,"=544")+SUMIFS('ANALITIKA EU PROJEKATA'!$G$3:$G$34,'ANALITIKA EU PROJEKATA'!$A$3:$A$34,"=61",'ANALITIKA EU PROJEKATA'!$P$3:$P$34,"=544")</f>
        <v>0</v>
      </c>
      <c r="U66" s="138">
        <f>SUMIFS('Plan rashoda za unos u SAP'!$I$3:$I$501,'Plan rashoda za unos u SAP'!$C$3:$C$501,"=63",'Plan rashoda za unos u SAP'!$M$3:$M$501,"=544")+SUMIFS('ANALITIKA EU PROJEKATA'!$G$3:$G$34,'ANALITIKA EU PROJEKATA'!$A$3:$A$34,"=63",'ANALITIKA EU PROJEKATA'!$P$3:$P$34,"=544")</f>
        <v>0</v>
      </c>
      <c r="V66" s="138">
        <f>SUMIFS('Plan rashoda za unos u SAP'!$I$3:$I$501,'Plan rashoda za unos u SAP'!$C$3:$C$501,"=71",'Plan rashoda za unos u SAP'!$M$3:$M$501,"=544")+SUMIFS('ANALITIKA EU PROJEKATA'!$G$3:$G$34,'ANALITIKA EU PROJEKATA'!$A$3:$A$34,"=71",'ANALITIKA EU PROJEKATA'!$P$3:$P$34,"=544")</f>
        <v>0</v>
      </c>
      <c r="W66" s="138">
        <f>SUMIFS('Plan rashoda za unos u SAP'!$I$3:$I$501,'Plan rashoda za unos u SAP'!$C$3:$C$501,"=81",'Plan rashoda za unos u SAP'!$M$3:$M$501,"=544")+SUMIFS('ANALITIKA EU PROJEKATA'!$G$3:$G$34,'ANALITIKA EU PROJEKATA'!$A$3:$A$34,"=81",'ANALITIKA EU PROJEKATA'!$P$3:$P$34,"=544")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PROJEKATA'!$G$3:$G$34,'ANALITIKA EU PROJEKATA'!$A$3:$A$34,"=11",'ANALITIKA EU PROJEKATA'!$P$3:$P$34,"=545")</f>
        <v>0</v>
      </c>
      <c r="F67" s="138">
        <f>SUMIFS('Plan rashoda za unos u SAP'!$I$3:$I$501,'Plan rashoda za unos u SAP'!$C$3:$C$501,"=12",'Plan rashoda za unos u SAP'!$M$3:$M$501,"=545")+SUMIFS('ANALITIKA EU PROJEKATA'!$G$3:$G$34,'ANALITIKA EU PROJEKATA'!$A$3:$A$34,"=12",'ANALITIKA EU PROJEKATA'!$P$3:$P$34,"=545")</f>
        <v>0</v>
      </c>
      <c r="G67" s="138">
        <f>SUMIFS('Plan rashoda za unos u SAP'!$I$3:$I$501,'Plan rashoda za unos u SAP'!$C$3:$C$501,"=31",'Plan rashoda za unos u SAP'!$M$3:$M$501,"=545")+SUMIFS('ANALITIKA EU PROJEKATA'!$G$3:$G$34,'ANALITIKA EU PROJEKATA'!$A$3:$A$34,"=31",'ANALITIKA EU PROJEKATA'!$P$3:$P$34,"=545")</f>
        <v>0</v>
      </c>
      <c r="H67" s="138">
        <f>SUMIFS('Plan rashoda za unos u SAP'!$I$3:$I$501,'Plan rashoda za unos u SAP'!$C$3:$C$501,"=41",'Plan rashoda za unos u SAP'!$M$3:$M$501,"=545")+SUMIFS('ANALITIKA EU PROJEKATA'!$G$3:$G$34,'ANALITIKA EU PROJEKATA'!$A$3:$A$34,"=41",'ANALITIKA EU PROJEKATA'!$P$3:$P$34,"=545")</f>
        <v>0</v>
      </c>
      <c r="I67" s="138">
        <f>SUMIFS('Plan rashoda za unos u SAP'!$I$3:$I$501,'Plan rashoda za unos u SAP'!$C$3:$C$501,"=43",'Plan rashoda za unos u SAP'!$M$3:$M$501,"=545")+SUMIFS('ANALITIKA EU PROJEKATA'!$G$3:$G$34,'ANALITIKA EU PROJEKATA'!$A$3:$A$34,"=43",'ANALITIKA EU PROJEKATA'!$P$3:$P$34,"=545")</f>
        <v>0</v>
      </c>
      <c r="J67" s="138">
        <f>SUMIFS('Plan rashoda za unos u SAP'!$I$3:$I$501,'Plan rashoda za unos u SAP'!$C$3:$C$501,"=51",'Plan rashoda za unos u SAP'!$M$3:$M$501,"=545")+SUMIFS('ANALITIKA EU PROJEKATA'!$G$3:$G$34,'ANALITIKA EU PROJEKATA'!$A$3:$A$34,"=51",'ANALITIKA EU PROJEKATA'!$P$3:$P$34,"=545")</f>
        <v>0</v>
      </c>
      <c r="K67" s="138">
        <f>SUMIFS('Plan rashoda za unos u SAP'!$I$3:$I$501,'Plan rashoda za unos u SAP'!$C$3:$C$501,"=52",'Plan rashoda za unos u SAP'!$M$3:$M$501,"=545")+SUMIFS('ANALITIKA EU PROJEKATA'!$G$3:$G$34,'ANALITIKA EU PROJEKATA'!$A$3:$A$34,"=52",'ANALITIKA EU PROJEKATA'!$P$3:$P$34,"=545")</f>
        <v>0</v>
      </c>
      <c r="L67" s="138">
        <f>SUMIFS('Plan rashoda za unos u SAP'!$I$3:$I$501,'Plan rashoda za unos u SAP'!$C$3:$C$501,"=552",'Plan rashoda za unos u SAP'!$M$3:$M$501,"=545")+SUMIFS('ANALITIKA EU PROJEKATA'!$G$3:$G$34,'ANALITIKA EU PROJEKATA'!$A$3:$A$34,"=552",'ANALITIKA EU PROJEKATA'!$P$3:$P$34,"=545")</f>
        <v>0</v>
      </c>
      <c r="M67" s="138">
        <f>SUMIFS('Plan rashoda za unos u SAP'!$I$3:$I$501,'Plan rashoda za unos u SAP'!$C$3:$C$501,"=559",'Plan rashoda za unos u SAP'!$M$3:$M$501,"=545")+SUMIFS('ANALITIKA EU PROJEKATA'!$G$3:$G$34,'ANALITIKA EU PROJEKATA'!$A$3:$A$34,"=559",'ANALITIKA EU PROJEKATA'!$P$3:$P$34,"=545")</f>
        <v>0</v>
      </c>
      <c r="N67" s="138">
        <f>SUMIFS('Plan rashoda za unos u SAP'!$I$3:$I$501,'Plan rashoda za unos u SAP'!$C$3:$C$501,"=561",'Plan rashoda za unos u SAP'!$M$3:$M$501,"=545")+SUMIFS('ANALITIKA EU PROJEKATA'!$G$3:$G$34,'ANALITIKA EU PROJEKATA'!$A$3:$A$34,"=561",'ANALITIKA EU PROJEKATA'!$P$3:$P$34,"=545")</f>
        <v>0</v>
      </c>
      <c r="O67" s="138">
        <f>SUMIFS('Plan rashoda za unos u SAP'!$I$3:$I$501,'Plan rashoda za unos u SAP'!$C$3:$C$501,"=563",'Plan rashoda za unos u SAP'!$M$3:$M$501,"=545")+SUMIFS('ANALITIKA EU PROJEKATA'!$G$3:$G$34,'ANALITIKA EU PROJEKATA'!$A$3:$A$34,"=563",'ANALITIKA EU PROJEKATA'!$P$3:$P$34,"=545")</f>
        <v>0</v>
      </c>
      <c r="P67" s="138">
        <f>SUMIFS('Plan rashoda za unos u SAP'!$I$3:$I$501,'Plan rashoda za unos u SAP'!$C$3:$C$501,"=573",'Plan rashoda za unos u SAP'!$M$3:$M$501,"=545")+SUMIFS('ANALITIKA EU PROJEKATA'!$G$3:$G$34,'ANALITIKA EU PROJEKATA'!$A$3:$A$34,"=573",'ANALITIKA EU PROJEKATA'!$P$3:$P$34,"=545")</f>
        <v>0</v>
      </c>
      <c r="Q67" s="138">
        <f>SUMIFS('Plan rashoda za unos u SAP'!$I$3:$I$501,'Plan rashoda za unos u SAP'!$C$3:$C$501,"=575",'Plan rashoda za unos u SAP'!$M$3:$M$501,"=545")+SUMIFS('ANALITIKA EU PROJEKATA'!$G$3:$G$34,'ANALITIKA EU PROJEKATA'!$A$3:$A$34,"=575",'ANALITIKA EU PROJEKATA'!$P$3:$P$34,"=545")</f>
        <v>0</v>
      </c>
      <c r="R67" s="138">
        <f>SUMIFS('Plan rashoda za unos u SAP'!$I$3:$I$501,'Plan rashoda za unos u SAP'!$C$3:$C$501,"=576",'Plan rashoda za unos u SAP'!$M$3:$M$501,"=545")+SUMIFS('ANALITIKA EU PROJEKATA'!$G$3:$G$34,'ANALITIKA EU PROJEKATA'!$A$3:$A$34,"=576",'ANALITIKA EU PROJEKATA'!$P$3:$P$34,"=545")</f>
        <v>0</v>
      </c>
      <c r="S67" s="138">
        <f>SUMIFS('Plan rashoda za unos u SAP'!$I$3:$I$501,'Plan rashoda za unos u SAP'!$C$3:$C$501,"=581",'Plan rashoda za unos u SAP'!$M$3:$M$501,"=545")+SUMIFS('ANALITIKA EU PROJEKATA'!$G$3:$G$34,'ANALITIKA EU PROJEKATA'!$A$3:$A$34,"=581",'ANALITIKA EU PROJEKATA'!$P$3:$P$34,"=545")</f>
        <v>0</v>
      </c>
      <c r="T67" s="138">
        <f>SUMIFS('Plan rashoda za unos u SAP'!$I$3:$I$501,'Plan rashoda za unos u SAP'!$C$3:$C$501,"=61",'Plan rashoda za unos u SAP'!$M$3:$M$501,"=545")+SUMIFS('ANALITIKA EU PROJEKATA'!$G$3:$G$34,'ANALITIKA EU PROJEKATA'!$A$3:$A$34,"=61",'ANALITIKA EU PROJEKATA'!$P$3:$P$34,"=545")</f>
        <v>0</v>
      </c>
      <c r="U67" s="138">
        <f>SUMIFS('Plan rashoda za unos u SAP'!$I$3:$I$501,'Plan rashoda za unos u SAP'!$C$3:$C$501,"=63",'Plan rashoda za unos u SAP'!$M$3:$M$501,"=545")+SUMIFS('ANALITIKA EU PROJEKATA'!$G$3:$G$34,'ANALITIKA EU PROJEKATA'!$A$3:$A$34,"=63",'ANALITIKA EU PROJEKATA'!$P$3:$P$34,"=545")</f>
        <v>0</v>
      </c>
      <c r="V67" s="138">
        <f>SUMIFS('Plan rashoda za unos u SAP'!$I$3:$I$501,'Plan rashoda za unos u SAP'!$C$3:$C$501,"=71",'Plan rashoda za unos u SAP'!$M$3:$M$501,"=545")+SUMIFS('ANALITIKA EU PROJEKATA'!$G$3:$G$34,'ANALITIKA EU PROJEKATA'!$A$3:$A$34,"=71",'ANALITIKA EU PROJEKATA'!$P$3:$P$34,"=545")</f>
        <v>0</v>
      </c>
      <c r="W67" s="138">
        <f>SUMIFS('Plan rashoda za unos u SAP'!$I$3:$I$501,'Plan rashoda za unos u SAP'!$C$3:$C$501,"=81",'Plan rashoda za unos u SAP'!$M$3:$M$501,"=545")+SUMIFS('ANALITIKA EU PROJEKATA'!$G$3:$G$34,'ANALITIKA EU PROJEKATA'!$A$3:$A$34,"=81",'ANALITIKA EU PROJEKATA'!$P$3:$P$34,"=545")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PROJEKATA'!$G$3:$G$34,'ANALITIKA EU PROJEKATA'!$A$3:$A$34,"=11",'ANALITIKA EU PROJEKATA'!$P$3:$P$34,"=547")</f>
        <v>0</v>
      </c>
      <c r="F68" s="138">
        <f>SUMIFS('Plan rashoda za unos u SAP'!$I$3:$I$501,'Plan rashoda za unos u SAP'!$C$3:$C$501,"=12",'Plan rashoda za unos u SAP'!$M$3:$M$501,"=547")+SUMIFS('ANALITIKA EU PROJEKATA'!$G$3:$G$34,'ANALITIKA EU PROJEKATA'!$A$3:$A$34,"=12",'ANALITIKA EU PROJEKATA'!$P$3:$P$34,"=547")</f>
        <v>0</v>
      </c>
      <c r="G68" s="138">
        <f>SUMIFS('Plan rashoda za unos u SAP'!$I$3:$I$501,'Plan rashoda za unos u SAP'!$C$3:$C$501,"=31",'Plan rashoda za unos u SAP'!$M$3:$M$501,"=547")+SUMIFS('ANALITIKA EU PROJEKATA'!$G$3:$G$34,'ANALITIKA EU PROJEKATA'!$A$3:$A$34,"=31",'ANALITIKA EU PROJEKATA'!$P$3:$P$34,"=547")</f>
        <v>0</v>
      </c>
      <c r="H68" s="138">
        <f>SUMIFS('Plan rashoda za unos u SAP'!$I$3:$I$501,'Plan rashoda za unos u SAP'!$C$3:$C$501,"=41",'Plan rashoda za unos u SAP'!$M$3:$M$501,"=547")+SUMIFS('ANALITIKA EU PROJEKATA'!$G$3:$G$34,'ANALITIKA EU PROJEKATA'!$A$3:$A$34,"=41",'ANALITIKA EU PROJEKATA'!$P$3:$P$34,"=547")</f>
        <v>0</v>
      </c>
      <c r="I68" s="138">
        <f>SUMIFS('Plan rashoda za unos u SAP'!$I$3:$I$501,'Plan rashoda za unos u SAP'!$C$3:$C$501,"=43",'Plan rashoda za unos u SAP'!$M$3:$M$501,"=547")+SUMIFS('ANALITIKA EU PROJEKATA'!$G$3:$G$34,'ANALITIKA EU PROJEKATA'!$A$3:$A$34,"=43",'ANALITIKA EU PROJEKATA'!$P$3:$P$34,"=547")</f>
        <v>0</v>
      </c>
      <c r="J68" s="138">
        <f>SUMIFS('Plan rashoda za unos u SAP'!$I$3:$I$501,'Plan rashoda za unos u SAP'!$C$3:$C$501,"=51",'Plan rashoda za unos u SAP'!$M$3:$M$501,"=547")+SUMIFS('ANALITIKA EU PROJEKATA'!$G$3:$G$34,'ANALITIKA EU PROJEKATA'!$A$3:$A$34,"=51",'ANALITIKA EU PROJEKATA'!$P$3:$P$34,"=547")</f>
        <v>0</v>
      </c>
      <c r="K68" s="138">
        <f>SUMIFS('Plan rashoda za unos u SAP'!$I$3:$I$501,'Plan rashoda za unos u SAP'!$C$3:$C$501,"=52",'Plan rashoda za unos u SAP'!$M$3:$M$501,"=547")+SUMIFS('ANALITIKA EU PROJEKATA'!$G$3:$G$34,'ANALITIKA EU PROJEKATA'!$A$3:$A$34,"=52",'ANALITIKA EU PROJEKATA'!$P$3:$P$34,"=547")</f>
        <v>0</v>
      </c>
      <c r="L68" s="138">
        <f>SUMIFS('Plan rashoda za unos u SAP'!$I$3:$I$501,'Plan rashoda za unos u SAP'!$C$3:$C$501,"=552",'Plan rashoda za unos u SAP'!$M$3:$M$501,"=547")+SUMIFS('ANALITIKA EU PROJEKATA'!$G$3:$G$34,'ANALITIKA EU PROJEKATA'!$A$3:$A$34,"=552",'ANALITIKA EU PROJEKATA'!$P$3:$P$34,"=547")</f>
        <v>0</v>
      </c>
      <c r="M68" s="138">
        <f>SUMIFS('Plan rashoda za unos u SAP'!$I$3:$I$501,'Plan rashoda za unos u SAP'!$C$3:$C$501,"=559",'Plan rashoda za unos u SAP'!$M$3:$M$501,"=547")+SUMIFS('ANALITIKA EU PROJEKATA'!$G$3:$G$34,'ANALITIKA EU PROJEKATA'!$A$3:$A$34,"=559",'ANALITIKA EU PROJEKATA'!$P$3:$P$34,"=547")</f>
        <v>0</v>
      </c>
      <c r="N68" s="138">
        <f>SUMIFS('Plan rashoda za unos u SAP'!$I$3:$I$501,'Plan rashoda za unos u SAP'!$C$3:$C$501,"=561",'Plan rashoda za unos u SAP'!$M$3:$M$501,"=547")+SUMIFS('ANALITIKA EU PROJEKATA'!$G$3:$G$34,'ANALITIKA EU PROJEKATA'!$A$3:$A$34,"=561",'ANALITIKA EU PROJEKATA'!$P$3:$P$34,"=547")</f>
        <v>0</v>
      </c>
      <c r="O68" s="138">
        <f>SUMIFS('Plan rashoda za unos u SAP'!$I$3:$I$501,'Plan rashoda za unos u SAP'!$C$3:$C$501,"=563",'Plan rashoda za unos u SAP'!$M$3:$M$501,"=547")+SUMIFS('ANALITIKA EU PROJEKATA'!$G$3:$G$34,'ANALITIKA EU PROJEKATA'!$A$3:$A$34,"=563",'ANALITIKA EU PROJEKATA'!$P$3:$P$34,"=547")</f>
        <v>0</v>
      </c>
      <c r="P68" s="138">
        <f>SUMIFS('Plan rashoda za unos u SAP'!$I$3:$I$501,'Plan rashoda za unos u SAP'!$C$3:$C$501,"=573",'Plan rashoda za unos u SAP'!$M$3:$M$501,"=547")+SUMIFS('ANALITIKA EU PROJEKATA'!$G$3:$G$34,'ANALITIKA EU PROJEKATA'!$A$3:$A$34,"=573",'ANALITIKA EU PROJEKATA'!$P$3:$P$34,"=547")</f>
        <v>0</v>
      </c>
      <c r="Q68" s="138">
        <f>SUMIFS('Plan rashoda za unos u SAP'!$I$3:$I$501,'Plan rashoda za unos u SAP'!$C$3:$C$501,"=575",'Plan rashoda za unos u SAP'!$M$3:$M$501,"=547")+SUMIFS('ANALITIKA EU PROJEKATA'!$G$3:$G$34,'ANALITIKA EU PROJEKATA'!$A$3:$A$34,"=575",'ANALITIKA EU PROJEKATA'!$P$3:$P$34,"=547")</f>
        <v>0</v>
      </c>
      <c r="R68" s="138">
        <f>SUMIFS('Plan rashoda za unos u SAP'!$I$3:$I$501,'Plan rashoda za unos u SAP'!$C$3:$C$501,"=576",'Plan rashoda za unos u SAP'!$M$3:$M$501,"=547")+SUMIFS('ANALITIKA EU PROJEKATA'!$G$3:$G$34,'ANALITIKA EU PROJEKATA'!$A$3:$A$34,"=576",'ANALITIKA EU PROJEKATA'!$P$3:$P$34,"=547")</f>
        <v>0</v>
      </c>
      <c r="S68" s="138">
        <f>SUMIFS('Plan rashoda za unos u SAP'!$I$3:$I$501,'Plan rashoda za unos u SAP'!$C$3:$C$501,"=581",'Plan rashoda za unos u SAP'!$M$3:$M$501,"=547")+SUMIFS('ANALITIKA EU PROJEKATA'!$G$3:$G$34,'ANALITIKA EU PROJEKATA'!$A$3:$A$34,"=581",'ANALITIKA EU PROJEKATA'!$P$3:$P$34,"=547")</f>
        <v>0</v>
      </c>
      <c r="T68" s="138">
        <f>SUMIFS('Plan rashoda za unos u SAP'!$I$3:$I$501,'Plan rashoda za unos u SAP'!$C$3:$C$501,"=61",'Plan rashoda za unos u SAP'!$M$3:$M$501,"=547")+SUMIFS('ANALITIKA EU PROJEKATA'!$G$3:$G$34,'ANALITIKA EU PROJEKATA'!$A$3:$A$34,"=61",'ANALITIKA EU PROJEKATA'!$P$3:$P$34,"=547")</f>
        <v>0</v>
      </c>
      <c r="U68" s="138">
        <f>SUMIFS('Plan rashoda za unos u SAP'!$I$3:$I$501,'Plan rashoda za unos u SAP'!$C$3:$C$501,"=63",'Plan rashoda za unos u SAP'!$M$3:$M$501,"=547")+SUMIFS('ANALITIKA EU PROJEKATA'!$G$3:$G$34,'ANALITIKA EU PROJEKATA'!$A$3:$A$34,"=63",'ANALITIKA EU PROJEKATA'!$P$3:$P$34,"=547")</f>
        <v>0</v>
      </c>
      <c r="V68" s="138">
        <f>SUMIFS('Plan rashoda za unos u SAP'!$I$3:$I$501,'Plan rashoda za unos u SAP'!$C$3:$C$501,"=71",'Plan rashoda za unos u SAP'!$M$3:$M$501,"=547")+SUMIFS('ANALITIKA EU PROJEKATA'!$G$3:$G$34,'ANALITIKA EU PROJEKATA'!$A$3:$A$34,"=71",'ANALITIKA EU PROJEKATA'!$P$3:$P$34,"=547")</f>
        <v>0</v>
      </c>
      <c r="W68" s="138">
        <f>SUMIFS('Plan rashoda za unos u SAP'!$I$3:$I$501,'Plan rashoda za unos u SAP'!$C$3:$C$501,"=81",'Plan rashoda za unos u SAP'!$M$3:$M$501,"=547")+SUMIFS('ANALITIKA EU PROJEKATA'!$G$3:$G$34,'ANALITIKA EU PROJEKATA'!$A$3:$A$34,"=81",'ANALITIKA EU PROJEKATA'!$P$3:$P$34,"=547")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10807113</v>
      </c>
      <c r="E71" s="121">
        <f t="shared" ref="E71:W71" si="23">+E72+E80+E86</f>
        <v>8837113</v>
      </c>
      <c r="F71" s="121">
        <f t="shared" si="23"/>
        <v>0</v>
      </c>
      <c r="G71" s="121">
        <f t="shared" si="23"/>
        <v>40000</v>
      </c>
      <c r="H71" s="121">
        <f>+H72+H80+H86</f>
        <v>0</v>
      </c>
      <c r="I71" s="121">
        <f t="shared" si="23"/>
        <v>1865000</v>
      </c>
      <c r="J71" s="121">
        <f t="shared" si="23"/>
        <v>0</v>
      </c>
      <c r="K71" s="121">
        <f t="shared" si="23"/>
        <v>65000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10052113</v>
      </c>
      <c r="E72" s="130">
        <f t="shared" ref="E72:W72" si="24">SUM(E73:E79)</f>
        <v>8837113</v>
      </c>
      <c r="F72" s="130">
        <f t="shared" si="24"/>
        <v>0</v>
      </c>
      <c r="G72" s="130">
        <f t="shared" si="24"/>
        <v>0</v>
      </c>
      <c r="H72" s="130">
        <f>SUM(H73:H79)</f>
        <v>0</v>
      </c>
      <c r="I72" s="130">
        <f t="shared" si="24"/>
        <v>1215000</v>
      </c>
      <c r="J72" s="130">
        <f t="shared" si="24"/>
        <v>0</v>
      </c>
      <c r="K72" s="130">
        <f t="shared" si="24"/>
        <v>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7642181</v>
      </c>
      <c r="E73" s="138">
        <f>SUMIFS('Plan rashoda za unos u SAP'!$J$3:$J$501,'Plan rashoda za unos u SAP'!$C$3:$C$501,"=11",'Plan rashoda za unos u SAP'!$N$3:$N$501,"=31")+SUMIFS('ANALITIKA EU PROJEKATA'!$H$3:$H$34,'ANALITIKA EU PROJEKATA'!$A$3:$A$34,"=11",'ANALITIKA EU PROJEKATA'!$Q$3:$Q$34,"=31")</f>
        <v>7572181</v>
      </c>
      <c r="F73" s="138">
        <f>SUMIFS('Plan rashoda za unos u SAP'!$J$3:$J$501,'Plan rashoda za unos u SAP'!$C$3:$C$501,"=12",'Plan rashoda za unos u SAP'!$N$3:$N$501,"=31")+SUMIFS('ANALITIKA EU PROJEKATA'!$H$3:$H$34,'ANALITIKA EU PROJEKATA'!$A$3:$A$34,"=12",'ANALITIKA EU PROJEKATA'!$Q$3:$Q$34,"=31")</f>
        <v>0</v>
      </c>
      <c r="G73" s="138">
        <f>SUMIFS('Plan rashoda za unos u SAP'!$J$3:$J$501,'Plan rashoda za unos u SAP'!$C$3:$C$501,"=31",'Plan rashoda za unos u SAP'!$N$3:$N$501,"=31")+SUMIFS('ANALITIKA EU PROJEKATA'!$H$3:$H$34,'ANALITIKA EU PROJEKATA'!$A$3:$A$34,"=31",'ANALITIKA EU PROJEKATA'!$Q$3:$Q$34,"=31")</f>
        <v>0</v>
      </c>
      <c r="H73" s="138">
        <f>SUMIFS('Plan rashoda za unos u SAP'!$J$3:$J$501,'Plan rashoda za unos u SAP'!$C$3:$C$501,"=41",'Plan rashoda za unos u SAP'!$N$3:$N$501,"=31")+SUMIFS('ANALITIKA EU PROJEKATA'!$H$3:$H$34,'ANALITIKA EU PROJEKATA'!$A$3:$A$34,"=41",'ANALITIKA EU PROJEKATA'!$Q$3:$Q$34,"=31")</f>
        <v>0</v>
      </c>
      <c r="I73" s="138">
        <f>SUMIFS('Plan rashoda za unos u SAP'!$J$3:$J$501,'Plan rashoda za unos u SAP'!$C$3:$C$501,"=43",'Plan rashoda za unos u SAP'!$N$3:$N$501,"=31")+SUMIFS('ANALITIKA EU PROJEKATA'!$H$3:$H$34,'ANALITIKA EU PROJEKATA'!$A$3:$A$34,"=43",'ANALITIKA EU PROJEKATA'!$Q$3:$Q$34,"=31")</f>
        <v>70000</v>
      </c>
      <c r="J73" s="138">
        <f>SUMIFS('Plan rashoda za unos u SAP'!$J$3:$J$501,'Plan rashoda za unos u SAP'!$C$3:$C$501,"=51",'Plan rashoda za unos u SAP'!$N$3:$N$501,"=31")+SUMIFS('ANALITIKA EU PROJEKATA'!$H$3:$H$34,'ANALITIKA EU PROJEKATA'!$A$3:$A$34,"=51",'ANALITIKA EU PROJEKATA'!$Q$3:$Q$34,"=31")</f>
        <v>0</v>
      </c>
      <c r="K73" s="138">
        <f>SUMIFS('Plan rashoda za unos u SAP'!$J$3:$J$501,'Plan rashoda za unos u SAP'!$C$3:$C$501,"=52",'Plan rashoda za unos u SAP'!$N$3:$N$501,"=31")+SUMIFS('ANALITIKA EU PROJEKATA'!$H$3:$H$34,'ANALITIKA EU PROJEKATA'!$A$3:$A$34,"=52",'ANALITIKA EU PROJEKATA'!$Q$3:$Q$34,"=31")</f>
        <v>0</v>
      </c>
      <c r="L73" s="138">
        <f>SUMIFS('Plan rashoda za unos u SAP'!$J$3:$J$501,'Plan rashoda za unos u SAP'!$C$3:$C$501,"=552",'Plan rashoda za unos u SAP'!$N$3:$N$501,"=31")+SUMIFS('ANALITIKA EU PROJEKATA'!$H$3:$H$34,'ANALITIKA EU PROJEKATA'!$A$3:$A$34,"=552",'ANALITIKA EU PROJEKATA'!$Q$3:$Q$34,"=31")</f>
        <v>0</v>
      </c>
      <c r="M73" s="138">
        <f>SUMIFS('Plan rashoda za unos u SAP'!$J$3:$J$501,'Plan rashoda za unos u SAP'!$C$3:$C$501,"=559",'Plan rashoda za unos u SAP'!$N$3:$N$501,"=31")+SUMIFS('ANALITIKA EU PROJEKATA'!$H$3:$H$34,'ANALITIKA EU PROJEKATA'!$A$3:$A$34,"=559",'ANALITIKA EU PROJEKATA'!$Q$3:$Q$34,"=31")</f>
        <v>0</v>
      </c>
      <c r="N73" s="138">
        <f>SUMIFS('Plan rashoda za unos u SAP'!$J$3:$J$501,'Plan rashoda za unos u SAP'!$C$3:$C$501,"=561",'Plan rashoda za unos u SAP'!$N$3:$N$501,"=31")+SUMIFS('ANALITIKA EU PROJEKATA'!$H$3:$H$34,'ANALITIKA EU PROJEKATA'!$A$3:$A$34,"=561",'ANALITIKA EU PROJEKATA'!$Q$3:$Q$34,"=31")</f>
        <v>0</v>
      </c>
      <c r="O73" s="138">
        <f>SUMIFS('Plan rashoda za unos u SAP'!$J$3:$J$501,'Plan rashoda za unos u SAP'!$C$3:$C$501,"=563",'Plan rashoda za unos u SAP'!$N$3:$N$501,"=31")+SUMIFS('ANALITIKA EU PROJEKATA'!$H$3:$H$34,'ANALITIKA EU PROJEKATA'!$A$3:$A$34,"=563",'ANALITIKA EU PROJEKATA'!$Q$3:$Q$34,"=31")</f>
        <v>0</v>
      </c>
      <c r="P73" s="138">
        <f>SUMIFS('Plan rashoda za unos u SAP'!$J$3:$J$501,'Plan rashoda za unos u SAP'!$C$3:$C$501,"=573",'Plan rashoda za unos u SAP'!$N$3:$N$501,"=31")+SUMIFS('ANALITIKA EU PROJEKATA'!$H$3:$H$34,'ANALITIKA EU PROJEKATA'!$A$3:$A$34,"=573",'ANALITIKA EU PROJEKATA'!$Q$3:$Q$34,"=31")</f>
        <v>0</v>
      </c>
      <c r="Q73" s="138">
        <f>SUMIFS('Plan rashoda za unos u SAP'!$J$3:$J$501,'Plan rashoda za unos u SAP'!$C$3:$C$501,"=575",'Plan rashoda za unos u SAP'!$N$3:$N$501,"=31")+SUMIFS('ANALITIKA EU PROJEKATA'!$H$3:$H$34,'ANALITIKA EU PROJEKATA'!$A$3:$A$34,"=575",'ANALITIKA EU PROJEKATA'!$Q$3:$Q$34,"=31")</f>
        <v>0</v>
      </c>
      <c r="R73" s="138">
        <f>SUMIFS('Plan rashoda za unos u SAP'!$J$3:$J$501,'Plan rashoda za unos u SAP'!$C$3:$C$501,"=576",'Plan rashoda za unos u SAP'!$N$3:$N$501,"=31")+SUMIFS('ANALITIKA EU PROJEKATA'!$H$3:$H$34,'ANALITIKA EU PROJEKATA'!$A$3:$A$34,"=576",'ANALITIKA EU PROJEKATA'!$Q$3:$Q$34,"=31")</f>
        <v>0</v>
      </c>
      <c r="S73" s="138">
        <f>SUMIFS('Plan rashoda za unos u SAP'!$J$3:$J$501,'Plan rashoda za unos u SAP'!$C$3:$C$501,"=581",'Plan rashoda za unos u SAP'!$N$3:$N$501,"=31")+SUMIFS('ANALITIKA EU PROJEKATA'!$H$3:$H$34,'ANALITIKA EU PROJEKATA'!$A$3:$A$34,"=581",'ANALITIKA EU PROJEKATA'!$Q$3:$Q$34,"=31")</f>
        <v>0</v>
      </c>
      <c r="T73" s="138">
        <f>SUMIFS('Plan rashoda za unos u SAP'!$J$3:$J$501,'Plan rashoda za unos u SAP'!$C$3:$C$501,"=61",'Plan rashoda za unos u SAP'!$N$3:$N$501,"=31")+SUMIFS('ANALITIKA EU PROJEKATA'!$H$3:$H$34,'ANALITIKA EU PROJEKATA'!$A$3:$A$34,"=61",'ANALITIKA EU PROJEKATA'!$Q$3:$Q$34,"=31")</f>
        <v>0</v>
      </c>
      <c r="U73" s="138">
        <f>SUMIFS('Plan rashoda za unos u SAP'!$J$3:$J$501,'Plan rashoda za unos u SAP'!$C$3:$C$501,"=63",'Plan rashoda za unos u SAP'!$N$3:$N$501,"=31")+SUMIFS('ANALITIKA EU PROJEKATA'!$H$3:$H$34,'ANALITIKA EU PROJEKATA'!$A$3:$A$34,"=63",'ANALITIKA EU PROJEKATA'!$Q$3:$Q$34,"=31")</f>
        <v>0</v>
      </c>
      <c r="V73" s="138">
        <f>SUMIFS('Plan rashoda za unos u SAP'!$J$3:$J$501,'Plan rashoda za unos u SAP'!$C$3:$C$501,"=71",'Plan rashoda za unos u SAP'!$N$3:$N$501,"=31")+SUMIFS('ANALITIKA EU PROJEKATA'!$H$3:$H$34,'ANALITIKA EU PROJEKATA'!$A$3:$A$34,"=71",'ANALITIKA EU PROJEKATA'!$Q$3:$Q$34,"=31")</f>
        <v>0</v>
      </c>
      <c r="W73" s="138">
        <f>SUMIFS('Plan rashoda za unos u SAP'!$J$3:$J$501,'Plan rashoda za unos u SAP'!$C$3:$C$501,"=81",'Plan rashoda za unos u SAP'!$N$3:$N$501,"=31")+SUMIFS('ANALITIKA EU PROJEKATA'!$H$3:$H$34,'ANALITIKA EU PROJEKATA'!$A$3:$A$34,"=81",'ANALITIKA EU PROJEKATA'!$Q$3:$Q$34,"=31")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2404932</v>
      </c>
      <c r="E74" s="138">
        <f>SUMIFS('Plan rashoda za unos u SAP'!$J$3:$J$501,'Plan rashoda za unos u SAP'!$C$3:$C$501,"=11",'Plan rashoda za unos u SAP'!$N$3:$N$501,"=32")+SUMIFS('ANALITIKA EU PROJEKATA'!$H$3:$H$34,'ANALITIKA EU PROJEKATA'!$A$3:$A$34,"=11",'ANALITIKA EU PROJEKATA'!$Q$3:$Q$34,"=32")</f>
        <v>1264932</v>
      </c>
      <c r="F74" s="138">
        <f>SUMIFS('Plan rashoda za unos u SAP'!$J$3:$J$501,'Plan rashoda za unos u SAP'!$C$3:$C$501,"=12",'Plan rashoda za unos u SAP'!$N$3:$N$501,"=32")+SUMIFS('ANALITIKA EU PROJEKATA'!$H$3:$H$34,'ANALITIKA EU PROJEKATA'!$A$3:$A$34,"=12",'ANALITIKA EU PROJEKATA'!$Q$3:$Q$34,"=32")</f>
        <v>0</v>
      </c>
      <c r="G74" s="138">
        <f>SUMIFS('Plan rashoda za unos u SAP'!$J$3:$J$501,'Plan rashoda za unos u SAP'!$C$3:$C$501,"=31",'Plan rashoda za unos u SAP'!$N$3:$N$501,"=32")+SUMIFS('ANALITIKA EU PROJEKATA'!$H$3:$H$34,'ANALITIKA EU PROJEKATA'!$A$3:$A$34,"=31",'ANALITIKA EU PROJEKATA'!$Q$3:$Q$34,"=32")</f>
        <v>0</v>
      </c>
      <c r="H74" s="138">
        <f>SUMIFS('Plan rashoda za unos u SAP'!$J$3:$J$501,'Plan rashoda za unos u SAP'!$C$3:$C$501,"=41",'Plan rashoda za unos u SAP'!$N$3:$N$501,"=32")+SUMIFS('ANALITIKA EU PROJEKATA'!$H$3:$H$34,'ANALITIKA EU PROJEKATA'!$A$3:$A$34,"=41",'ANALITIKA EU PROJEKATA'!$Q$3:$Q$34,"=32")</f>
        <v>0</v>
      </c>
      <c r="I74" s="138">
        <f>SUMIFS('Plan rashoda za unos u SAP'!$J$3:$J$501,'Plan rashoda za unos u SAP'!$C$3:$C$501,"=43",'Plan rashoda za unos u SAP'!$N$3:$N$501,"=32")+SUMIFS('ANALITIKA EU PROJEKATA'!$H$3:$H$34,'ANALITIKA EU PROJEKATA'!$A$3:$A$34,"=43",'ANALITIKA EU PROJEKATA'!$Q$3:$Q$34,"=32")</f>
        <v>1140000</v>
      </c>
      <c r="J74" s="138">
        <f>SUMIFS('Plan rashoda za unos u SAP'!$J$3:$J$501,'Plan rashoda za unos u SAP'!$C$3:$C$501,"=51",'Plan rashoda za unos u SAP'!$N$3:$N$501,"=32")+SUMIFS('ANALITIKA EU PROJEKATA'!$H$3:$H$34,'ANALITIKA EU PROJEKATA'!$A$3:$A$34,"=51",'ANALITIKA EU PROJEKATA'!$Q$3:$Q$34,"=32")</f>
        <v>0</v>
      </c>
      <c r="K74" s="138">
        <f>SUMIFS('Plan rashoda za unos u SAP'!$J$3:$J$501,'Plan rashoda za unos u SAP'!$C$3:$C$501,"=52",'Plan rashoda za unos u SAP'!$N$3:$N$501,"=32")+SUMIFS('ANALITIKA EU PROJEKATA'!$H$3:$H$34,'ANALITIKA EU PROJEKATA'!$A$3:$A$34,"=52",'ANALITIKA EU PROJEKATA'!$Q$3:$Q$34,"=32")</f>
        <v>0</v>
      </c>
      <c r="L74" s="138">
        <f>SUMIFS('Plan rashoda za unos u SAP'!$J$3:$J$501,'Plan rashoda za unos u SAP'!$C$3:$C$501,"=552",'Plan rashoda za unos u SAP'!$N$3:$N$501,"=32")+SUMIFS('ANALITIKA EU PROJEKATA'!$H$3:$H$34,'ANALITIKA EU PROJEKATA'!$A$3:$A$34,"=552",'ANALITIKA EU PROJEKATA'!$Q$3:$Q$34,"=32")</f>
        <v>0</v>
      </c>
      <c r="M74" s="138">
        <f>SUMIFS('Plan rashoda za unos u SAP'!$J$3:$J$501,'Plan rashoda za unos u SAP'!$C$3:$C$501,"=559",'Plan rashoda za unos u SAP'!$N$3:$N$501,"=32")+SUMIFS('ANALITIKA EU PROJEKATA'!$H$3:$H$34,'ANALITIKA EU PROJEKATA'!$A$3:$A$34,"=559",'ANALITIKA EU PROJEKATA'!$Q$3:$Q$34,"=32")</f>
        <v>0</v>
      </c>
      <c r="N74" s="138">
        <f>SUMIFS('Plan rashoda za unos u SAP'!$J$3:$J$501,'Plan rashoda za unos u SAP'!$C$3:$C$501,"=561",'Plan rashoda za unos u SAP'!$N$3:$N$501,"=32")+SUMIFS('ANALITIKA EU PROJEKATA'!$H$3:$H$34,'ANALITIKA EU PROJEKATA'!$A$3:$A$34,"=561",'ANALITIKA EU PROJEKATA'!$Q$3:$Q$34,"=32")</f>
        <v>0</v>
      </c>
      <c r="O74" s="138">
        <f>SUMIFS('Plan rashoda za unos u SAP'!$J$3:$J$501,'Plan rashoda za unos u SAP'!$C$3:$C$501,"=563",'Plan rashoda za unos u SAP'!$N$3:$N$501,"=32")+SUMIFS('ANALITIKA EU PROJEKATA'!$H$3:$H$34,'ANALITIKA EU PROJEKATA'!$A$3:$A$34,"=563",'ANALITIKA EU PROJEKATA'!$Q$3:$Q$34,"=32")</f>
        <v>0</v>
      </c>
      <c r="P74" s="138">
        <f>SUMIFS('Plan rashoda za unos u SAP'!$J$3:$J$501,'Plan rashoda za unos u SAP'!$C$3:$C$501,"=573",'Plan rashoda za unos u SAP'!$N$3:$N$501,"=32")+SUMIFS('ANALITIKA EU PROJEKATA'!$H$3:$H$34,'ANALITIKA EU PROJEKATA'!$A$3:$A$34,"=573",'ANALITIKA EU PROJEKATA'!$Q$3:$Q$34,"=32")</f>
        <v>0</v>
      </c>
      <c r="Q74" s="138">
        <f>SUMIFS('Plan rashoda za unos u SAP'!$J$3:$J$501,'Plan rashoda za unos u SAP'!$C$3:$C$501,"=575",'Plan rashoda za unos u SAP'!$N$3:$N$501,"=32")+SUMIFS('ANALITIKA EU PROJEKATA'!$H$3:$H$34,'ANALITIKA EU PROJEKATA'!$A$3:$A$34,"=575",'ANALITIKA EU PROJEKATA'!$Q$3:$Q$34,"=32")</f>
        <v>0</v>
      </c>
      <c r="R74" s="138">
        <f>SUMIFS('Plan rashoda za unos u SAP'!$J$3:$J$501,'Plan rashoda za unos u SAP'!$C$3:$C$501,"=576",'Plan rashoda za unos u SAP'!$N$3:$N$501,"=32")+SUMIFS('ANALITIKA EU PROJEKATA'!$H$3:$H$34,'ANALITIKA EU PROJEKATA'!$A$3:$A$34,"=576",'ANALITIKA EU PROJEKATA'!$Q$3:$Q$34,"=32")</f>
        <v>0</v>
      </c>
      <c r="S74" s="138">
        <f>SUMIFS('Plan rashoda za unos u SAP'!$J$3:$J$501,'Plan rashoda za unos u SAP'!$C$3:$C$501,"=581",'Plan rashoda za unos u SAP'!$N$3:$N$501,"=32")+SUMIFS('ANALITIKA EU PROJEKATA'!$H$3:$H$34,'ANALITIKA EU PROJEKATA'!$A$3:$A$34,"=581",'ANALITIKA EU PROJEKATA'!$Q$3:$Q$34,"=32")</f>
        <v>0</v>
      </c>
      <c r="T74" s="138">
        <f>SUMIFS('Plan rashoda za unos u SAP'!$J$3:$J$501,'Plan rashoda za unos u SAP'!$C$3:$C$501,"=61",'Plan rashoda za unos u SAP'!$N$3:$N$501,"=32")+SUMIFS('ANALITIKA EU PROJEKATA'!$H$3:$H$34,'ANALITIKA EU PROJEKATA'!$A$3:$A$34,"=61",'ANALITIKA EU PROJEKATA'!$Q$3:$Q$34,"=32")</f>
        <v>0</v>
      </c>
      <c r="U74" s="138">
        <f>SUMIFS('Plan rashoda za unos u SAP'!$J$3:$J$501,'Plan rashoda za unos u SAP'!$C$3:$C$501,"=63",'Plan rashoda za unos u SAP'!$N$3:$N$501,"=32")+SUMIFS('ANALITIKA EU PROJEKATA'!$H$3:$H$34,'ANALITIKA EU PROJEKATA'!$A$3:$A$34,"=63",'ANALITIKA EU PROJEKATA'!$Q$3:$Q$34,"=32")</f>
        <v>0</v>
      </c>
      <c r="V74" s="138">
        <f>SUMIFS('Plan rashoda za unos u SAP'!$J$3:$J$501,'Plan rashoda za unos u SAP'!$C$3:$C$501,"=71",'Plan rashoda za unos u SAP'!$N$3:$N$501,"=32")+SUMIFS('ANALITIKA EU PROJEKATA'!$H$3:$H$34,'ANALITIKA EU PROJEKATA'!$A$3:$A$34,"=71",'ANALITIKA EU PROJEKATA'!$Q$3:$Q$34,"=32")</f>
        <v>0</v>
      </c>
      <c r="W74" s="138">
        <f>SUMIFS('Plan rashoda za unos u SAP'!$J$3:$J$501,'Plan rashoda za unos u SAP'!$C$3:$C$501,"=81",'Plan rashoda za unos u SAP'!$N$3:$N$501,"=32")+SUMIFS('ANALITIKA EU PROJEKATA'!$H$3:$H$34,'ANALITIKA EU PROJEKATA'!$A$3:$A$34,"=81",'ANALITIKA EU PROJEKATA'!$Q$3:$Q$34,"=32")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5000</v>
      </c>
      <c r="E75" s="138">
        <f>SUMIFS('Plan rashoda za unos u SAP'!$J$3:$J$501,'Plan rashoda za unos u SAP'!$C$3:$C$501,"=11",'Plan rashoda za unos u SAP'!$N$3:$N$501,"=34")+SUMIFS('ANALITIKA EU PROJEKATA'!$H$3:$H$34,'ANALITIKA EU PROJEKATA'!$A$3:$A$34,"=11",'ANALITIKA EU PROJEKATA'!$Q$3:$Q$34,"=34")</f>
        <v>0</v>
      </c>
      <c r="F75" s="138">
        <f>SUMIFS('Plan rashoda za unos u SAP'!$J$3:$J$501,'Plan rashoda za unos u SAP'!$C$3:$C$501,"=12",'Plan rashoda za unos u SAP'!$N$3:$N$501,"=34")+SUMIFS('ANALITIKA EU PROJEKATA'!$H$3:$H$34,'ANALITIKA EU PROJEKATA'!$A$3:$A$34,"=12",'ANALITIKA EU PROJEKATA'!$Q$3:$Q$34,"=34")</f>
        <v>0</v>
      </c>
      <c r="G75" s="138">
        <f>SUMIFS('Plan rashoda za unos u SAP'!$J$3:$J$501,'Plan rashoda za unos u SAP'!$C$3:$C$501,"=31",'Plan rashoda za unos u SAP'!$N$3:$N$501,"=34")+SUMIFS('ANALITIKA EU PROJEKATA'!$H$3:$H$34,'ANALITIKA EU PROJEKATA'!$A$3:$A$34,"=31",'ANALITIKA EU PROJEKATA'!$Q$3:$Q$34,"=34")</f>
        <v>0</v>
      </c>
      <c r="H75" s="138">
        <f>SUMIFS('Plan rashoda za unos u SAP'!$J$3:$J$501,'Plan rashoda za unos u SAP'!$C$3:$C$501,"=41",'Plan rashoda za unos u SAP'!$N$3:$N$501,"=34")+SUMIFS('ANALITIKA EU PROJEKATA'!$H$3:$H$34,'ANALITIKA EU PROJEKATA'!$A$3:$A$34,"=41",'ANALITIKA EU PROJEKATA'!$Q$3:$Q$34,"=34")</f>
        <v>0</v>
      </c>
      <c r="I75" s="138">
        <f>SUMIFS('Plan rashoda za unos u SAP'!$J$3:$J$501,'Plan rashoda za unos u SAP'!$C$3:$C$501,"=43",'Plan rashoda za unos u SAP'!$N$3:$N$501,"=34")+SUMIFS('ANALITIKA EU PROJEKATA'!$H$3:$H$34,'ANALITIKA EU PROJEKATA'!$A$3:$A$34,"=43",'ANALITIKA EU PROJEKATA'!$Q$3:$Q$34,"=34")</f>
        <v>5000</v>
      </c>
      <c r="J75" s="138">
        <f>SUMIFS('Plan rashoda za unos u SAP'!$J$3:$J$501,'Plan rashoda za unos u SAP'!$C$3:$C$501,"=51",'Plan rashoda za unos u SAP'!$N$3:$N$501,"=34")+SUMIFS('ANALITIKA EU PROJEKATA'!$H$3:$H$34,'ANALITIKA EU PROJEKATA'!$A$3:$A$34,"=51",'ANALITIKA EU PROJEKATA'!$Q$3:$Q$34,"=34")</f>
        <v>0</v>
      </c>
      <c r="K75" s="138">
        <f>SUMIFS('Plan rashoda za unos u SAP'!$J$3:$J$501,'Plan rashoda za unos u SAP'!$C$3:$C$501,"=52",'Plan rashoda za unos u SAP'!$N$3:$N$501,"=34")+SUMIFS('ANALITIKA EU PROJEKATA'!$H$3:$H$34,'ANALITIKA EU PROJEKATA'!$A$3:$A$34,"=52",'ANALITIKA EU PROJEKATA'!$Q$3:$Q$34,"=34")</f>
        <v>0</v>
      </c>
      <c r="L75" s="138">
        <f>SUMIFS('Plan rashoda za unos u SAP'!$J$3:$J$501,'Plan rashoda za unos u SAP'!$C$3:$C$501,"=552",'Plan rashoda za unos u SAP'!$N$3:$N$501,"=34")+SUMIFS('ANALITIKA EU PROJEKATA'!$H$3:$H$34,'ANALITIKA EU PROJEKATA'!$A$3:$A$34,"=552",'ANALITIKA EU PROJEKATA'!$Q$3:$Q$34,"=34")</f>
        <v>0</v>
      </c>
      <c r="M75" s="138">
        <f>SUMIFS('Plan rashoda za unos u SAP'!$J$3:$J$501,'Plan rashoda za unos u SAP'!$C$3:$C$501,"=559",'Plan rashoda za unos u SAP'!$N$3:$N$501,"=34")+SUMIFS('ANALITIKA EU PROJEKATA'!$H$3:$H$34,'ANALITIKA EU PROJEKATA'!$A$3:$A$34,"=559",'ANALITIKA EU PROJEKATA'!$Q$3:$Q$34,"=34")</f>
        <v>0</v>
      </c>
      <c r="N75" s="138">
        <f>SUMIFS('Plan rashoda za unos u SAP'!$J$3:$J$501,'Plan rashoda za unos u SAP'!$C$3:$C$501,"=561",'Plan rashoda za unos u SAP'!$N$3:$N$501,"=34")+SUMIFS('ANALITIKA EU PROJEKATA'!$H$3:$H$34,'ANALITIKA EU PROJEKATA'!$A$3:$A$34,"=561",'ANALITIKA EU PROJEKATA'!$Q$3:$Q$34,"=34")</f>
        <v>0</v>
      </c>
      <c r="O75" s="138">
        <f>SUMIFS('Plan rashoda za unos u SAP'!$J$3:$J$501,'Plan rashoda za unos u SAP'!$C$3:$C$501,"=563",'Plan rashoda za unos u SAP'!$N$3:$N$501,"=34")+SUMIFS('ANALITIKA EU PROJEKATA'!$H$3:$H$34,'ANALITIKA EU PROJEKATA'!$A$3:$A$34,"=563",'ANALITIKA EU PROJEKATA'!$Q$3:$Q$34,"=34")</f>
        <v>0</v>
      </c>
      <c r="P75" s="138">
        <f>SUMIFS('Plan rashoda za unos u SAP'!$J$3:$J$501,'Plan rashoda za unos u SAP'!$C$3:$C$501,"=573",'Plan rashoda za unos u SAP'!$N$3:$N$501,"=34")+SUMIFS('ANALITIKA EU PROJEKATA'!$H$3:$H$34,'ANALITIKA EU PROJEKATA'!$A$3:$A$34,"=573",'ANALITIKA EU PROJEKATA'!$Q$3:$Q$34,"=34")</f>
        <v>0</v>
      </c>
      <c r="Q75" s="138">
        <f>SUMIFS('Plan rashoda za unos u SAP'!$J$3:$J$501,'Plan rashoda za unos u SAP'!$C$3:$C$501,"=575",'Plan rashoda za unos u SAP'!$N$3:$N$501,"=34")+SUMIFS('ANALITIKA EU PROJEKATA'!$H$3:$H$34,'ANALITIKA EU PROJEKATA'!$A$3:$A$34,"=575",'ANALITIKA EU PROJEKATA'!$Q$3:$Q$34,"=34")</f>
        <v>0</v>
      </c>
      <c r="R75" s="138">
        <f>SUMIFS('Plan rashoda za unos u SAP'!$J$3:$J$501,'Plan rashoda za unos u SAP'!$C$3:$C$501,"=576",'Plan rashoda za unos u SAP'!$N$3:$N$501,"=34")+SUMIFS('ANALITIKA EU PROJEKATA'!$H$3:$H$34,'ANALITIKA EU PROJEKATA'!$A$3:$A$34,"=576",'ANALITIKA EU PROJEKATA'!$Q$3:$Q$34,"=34")</f>
        <v>0</v>
      </c>
      <c r="S75" s="138">
        <f>SUMIFS('Plan rashoda za unos u SAP'!$J$3:$J$501,'Plan rashoda za unos u SAP'!$C$3:$C$501,"=581",'Plan rashoda za unos u SAP'!$N$3:$N$501,"=34")+SUMIFS('ANALITIKA EU PROJEKATA'!$H$3:$H$34,'ANALITIKA EU PROJEKATA'!$A$3:$A$34,"=581",'ANALITIKA EU PROJEKATA'!$Q$3:$Q$34,"=34")</f>
        <v>0</v>
      </c>
      <c r="T75" s="138">
        <f>SUMIFS('Plan rashoda za unos u SAP'!$J$3:$J$501,'Plan rashoda za unos u SAP'!$C$3:$C$501,"=61",'Plan rashoda za unos u SAP'!$N$3:$N$501,"=34")+SUMIFS('ANALITIKA EU PROJEKATA'!$H$3:$H$34,'ANALITIKA EU PROJEKATA'!$A$3:$A$34,"=61",'ANALITIKA EU PROJEKATA'!$Q$3:$Q$34,"=34")</f>
        <v>0</v>
      </c>
      <c r="U75" s="138">
        <f>SUMIFS('Plan rashoda za unos u SAP'!$J$3:$J$501,'Plan rashoda za unos u SAP'!$C$3:$C$501,"=63",'Plan rashoda za unos u SAP'!$N$3:$N$501,"=34")+SUMIFS('ANALITIKA EU PROJEKATA'!$H$3:$H$34,'ANALITIKA EU PROJEKATA'!$A$3:$A$34,"=63",'ANALITIKA EU PROJEKATA'!$Q$3:$Q$34,"=34")</f>
        <v>0</v>
      </c>
      <c r="V75" s="138">
        <f>SUMIFS('Plan rashoda za unos u SAP'!$J$3:$J$501,'Plan rashoda za unos u SAP'!$C$3:$C$501,"=71",'Plan rashoda za unos u SAP'!$N$3:$N$501,"=34")+SUMIFS('ANALITIKA EU PROJEKATA'!$H$3:$H$34,'ANALITIKA EU PROJEKATA'!$A$3:$A$34,"=71",'ANALITIKA EU PROJEKATA'!$Q$3:$Q$34,"=34")</f>
        <v>0</v>
      </c>
      <c r="W75" s="138">
        <f>SUMIFS('Plan rashoda za unos u SAP'!$J$3:$J$501,'Plan rashoda za unos u SAP'!$C$3:$C$501,"=81",'Plan rashoda za unos u SAP'!$N$3:$N$501,"=34")+SUMIFS('ANALITIKA EU PROJEKATA'!$H$3:$H$34,'ANALITIKA EU PROJEKATA'!$A$3:$A$34,"=81",'ANALITIKA EU PROJEKATA'!$Q$3:$Q$34,"=34")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PROJEKATA'!$H$3:$H$34,'ANALITIKA EU PROJEKATA'!$A$3:$A$34,"=11",'ANALITIKA EU PROJEKATA'!$Q$3:$Q$34,"=35")</f>
        <v>0</v>
      </c>
      <c r="F76" s="138">
        <f>SUMIFS('Plan rashoda za unos u SAP'!$J$3:$J$501,'Plan rashoda za unos u SAP'!$C$3:$C$501,"=12",'Plan rashoda za unos u SAP'!$N$3:$N$501,"=35")+SUMIFS('ANALITIKA EU PROJEKATA'!$H$3:$H$34,'ANALITIKA EU PROJEKATA'!$A$3:$A$34,"=12",'ANALITIKA EU PROJEKATA'!$Q$3:$Q$34,"=35")</f>
        <v>0</v>
      </c>
      <c r="G76" s="138">
        <f>SUMIFS('Plan rashoda za unos u SAP'!$J$3:$J$501,'Plan rashoda za unos u SAP'!$C$3:$C$501,"=31",'Plan rashoda za unos u SAP'!$N$3:$N$501,"=35")+SUMIFS('ANALITIKA EU PROJEKATA'!$H$3:$H$34,'ANALITIKA EU PROJEKATA'!$A$3:$A$34,"=31",'ANALITIKA EU PROJEKATA'!$Q$3:$Q$34,"=35")</f>
        <v>0</v>
      </c>
      <c r="H76" s="138">
        <f>SUMIFS('Plan rashoda za unos u SAP'!$J$3:$J$501,'Plan rashoda za unos u SAP'!$C$3:$C$501,"=41",'Plan rashoda za unos u SAP'!$N$3:$N$501,"=35")+SUMIFS('ANALITIKA EU PROJEKATA'!$H$3:$H$34,'ANALITIKA EU PROJEKATA'!$A$3:$A$34,"=41",'ANALITIKA EU PROJEKATA'!$Q$3:$Q$34,"=35")</f>
        <v>0</v>
      </c>
      <c r="I76" s="138">
        <f>SUMIFS('Plan rashoda za unos u SAP'!$J$3:$J$501,'Plan rashoda za unos u SAP'!$C$3:$C$501,"=43",'Plan rashoda za unos u SAP'!$N$3:$N$501,"=35")+SUMIFS('ANALITIKA EU PROJEKATA'!$H$3:$H$34,'ANALITIKA EU PROJEKATA'!$A$3:$A$34,"=43",'ANALITIKA EU PROJEKATA'!$Q$3:$Q$34,"=35")</f>
        <v>0</v>
      </c>
      <c r="J76" s="138">
        <f>SUMIFS('Plan rashoda za unos u SAP'!$J$3:$J$501,'Plan rashoda za unos u SAP'!$C$3:$C$501,"=51",'Plan rashoda za unos u SAP'!$N$3:$N$501,"=35")+SUMIFS('ANALITIKA EU PROJEKATA'!$H$3:$H$34,'ANALITIKA EU PROJEKATA'!$A$3:$A$34,"=51",'ANALITIKA EU PROJEKATA'!$Q$3:$Q$34,"=35")</f>
        <v>0</v>
      </c>
      <c r="K76" s="138">
        <f>SUMIFS('Plan rashoda za unos u SAP'!$J$3:$J$501,'Plan rashoda za unos u SAP'!$C$3:$C$501,"=52",'Plan rashoda za unos u SAP'!$N$3:$N$501,"=35")+SUMIFS('ANALITIKA EU PROJEKATA'!$H$3:$H$34,'ANALITIKA EU PROJEKATA'!$A$3:$A$34,"=52",'ANALITIKA EU PROJEKATA'!$Q$3:$Q$34,"=35")</f>
        <v>0</v>
      </c>
      <c r="L76" s="138">
        <f>SUMIFS('Plan rashoda za unos u SAP'!$J$3:$J$501,'Plan rashoda za unos u SAP'!$C$3:$C$501,"=552",'Plan rashoda za unos u SAP'!$N$3:$N$501,"=35")+SUMIFS('ANALITIKA EU PROJEKATA'!$H$3:$H$34,'ANALITIKA EU PROJEKATA'!$A$3:$A$34,"=552",'ANALITIKA EU PROJEKATA'!$Q$3:$Q$34,"=35")</f>
        <v>0</v>
      </c>
      <c r="M76" s="138">
        <f>SUMIFS('Plan rashoda za unos u SAP'!$J$3:$J$501,'Plan rashoda za unos u SAP'!$C$3:$C$501,"=559",'Plan rashoda za unos u SAP'!$N$3:$N$501,"=35")+SUMIFS('ANALITIKA EU PROJEKATA'!$H$3:$H$34,'ANALITIKA EU PROJEKATA'!$A$3:$A$34,"=559",'ANALITIKA EU PROJEKATA'!$Q$3:$Q$34,"=35")</f>
        <v>0</v>
      </c>
      <c r="N76" s="138">
        <f>SUMIFS('Plan rashoda za unos u SAP'!$J$3:$J$501,'Plan rashoda za unos u SAP'!$C$3:$C$501,"=561",'Plan rashoda za unos u SAP'!$N$3:$N$501,"=35")+SUMIFS('ANALITIKA EU PROJEKATA'!$H$3:$H$34,'ANALITIKA EU PROJEKATA'!$A$3:$A$34,"=561",'ANALITIKA EU PROJEKATA'!$Q$3:$Q$34,"=35")</f>
        <v>0</v>
      </c>
      <c r="O76" s="138">
        <f>SUMIFS('Plan rashoda za unos u SAP'!$J$3:$J$501,'Plan rashoda za unos u SAP'!$C$3:$C$501,"=563",'Plan rashoda za unos u SAP'!$N$3:$N$501,"=35")+SUMIFS('ANALITIKA EU PROJEKATA'!$H$3:$H$34,'ANALITIKA EU PROJEKATA'!$A$3:$A$34,"=563",'ANALITIKA EU PROJEKATA'!$Q$3:$Q$34,"=35")</f>
        <v>0</v>
      </c>
      <c r="P76" s="138">
        <f>SUMIFS('Plan rashoda za unos u SAP'!$J$3:$J$501,'Plan rashoda za unos u SAP'!$C$3:$C$501,"=573",'Plan rashoda za unos u SAP'!$N$3:$N$501,"=35")+SUMIFS('ANALITIKA EU PROJEKATA'!$H$3:$H$34,'ANALITIKA EU PROJEKATA'!$A$3:$A$34,"=573",'ANALITIKA EU PROJEKATA'!$Q$3:$Q$34,"=35")</f>
        <v>0</v>
      </c>
      <c r="Q76" s="138">
        <f>SUMIFS('Plan rashoda za unos u SAP'!$J$3:$J$501,'Plan rashoda za unos u SAP'!$C$3:$C$501,"=575",'Plan rashoda za unos u SAP'!$N$3:$N$501,"=35")+SUMIFS('ANALITIKA EU PROJEKATA'!$H$3:$H$34,'ANALITIKA EU PROJEKATA'!$A$3:$A$34,"=575",'ANALITIKA EU PROJEKATA'!$Q$3:$Q$34,"=35")</f>
        <v>0</v>
      </c>
      <c r="R76" s="138">
        <f>SUMIFS('Plan rashoda za unos u SAP'!$J$3:$J$501,'Plan rashoda za unos u SAP'!$C$3:$C$501,"=576",'Plan rashoda za unos u SAP'!$N$3:$N$501,"=35")+SUMIFS('ANALITIKA EU PROJEKATA'!$H$3:$H$34,'ANALITIKA EU PROJEKATA'!$A$3:$A$34,"=576",'ANALITIKA EU PROJEKATA'!$Q$3:$Q$34,"=35")</f>
        <v>0</v>
      </c>
      <c r="S76" s="138">
        <f>SUMIFS('Plan rashoda za unos u SAP'!$J$3:$J$501,'Plan rashoda za unos u SAP'!$C$3:$C$501,"=581",'Plan rashoda za unos u SAP'!$N$3:$N$501,"=35")+SUMIFS('ANALITIKA EU PROJEKATA'!$H$3:$H$34,'ANALITIKA EU PROJEKATA'!$A$3:$A$34,"=581",'ANALITIKA EU PROJEKATA'!$Q$3:$Q$34,"=35")</f>
        <v>0</v>
      </c>
      <c r="T76" s="138">
        <f>SUMIFS('Plan rashoda za unos u SAP'!$J$3:$J$501,'Plan rashoda za unos u SAP'!$C$3:$C$501,"=61",'Plan rashoda za unos u SAP'!$N$3:$N$501,"=35")+SUMIFS('ANALITIKA EU PROJEKATA'!$H$3:$H$34,'ANALITIKA EU PROJEKATA'!$A$3:$A$34,"=61",'ANALITIKA EU PROJEKATA'!$Q$3:$Q$34,"=35")</f>
        <v>0</v>
      </c>
      <c r="U76" s="138">
        <f>SUMIFS('Plan rashoda za unos u SAP'!$J$3:$J$501,'Plan rashoda za unos u SAP'!$C$3:$C$501,"=63",'Plan rashoda za unos u SAP'!$N$3:$N$501,"=35")+SUMIFS('ANALITIKA EU PROJEKATA'!$H$3:$H$34,'ANALITIKA EU PROJEKATA'!$A$3:$A$34,"=63",'ANALITIKA EU PROJEKATA'!$Q$3:$Q$34,"=35")</f>
        <v>0</v>
      </c>
      <c r="V76" s="138">
        <f>SUMIFS('Plan rashoda za unos u SAP'!$J$3:$J$501,'Plan rashoda za unos u SAP'!$C$3:$C$501,"=71",'Plan rashoda za unos u SAP'!$N$3:$N$501,"=35")+SUMIFS('ANALITIKA EU PROJEKATA'!$H$3:$H$34,'ANALITIKA EU PROJEKATA'!$A$3:$A$34,"=71",'ANALITIKA EU PROJEKATA'!$Q$3:$Q$34,"=35")</f>
        <v>0</v>
      </c>
      <c r="W76" s="138">
        <f>SUMIFS('Plan rashoda za unos u SAP'!$J$3:$J$501,'Plan rashoda za unos u SAP'!$C$3:$C$501,"=81",'Plan rashoda za unos u SAP'!$N$3:$N$501,"=35")+SUMIFS('ANALITIKA EU PROJEKATA'!$H$3:$H$34,'ANALITIKA EU PROJEKATA'!$A$3:$A$34,"=81",'ANALITIKA EU PROJEKATA'!$Q$3:$Q$34,"=35")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PROJEKATA'!$H$3:$H$34,'ANALITIKA EU PROJEKATA'!$A$3:$A$34,"=11",'ANALITIKA EU PROJEKATA'!$Q$3:$Q$34,"=36")</f>
        <v>0</v>
      </c>
      <c r="F77" s="138">
        <f>SUMIFS('Plan rashoda za unos u SAP'!$J$3:$J$501,'Plan rashoda za unos u SAP'!$C$3:$C$501,"=12",'Plan rashoda za unos u SAP'!$N$3:$N$501,"=36")+SUMIFS('ANALITIKA EU PROJEKATA'!$H$3:$H$34,'ANALITIKA EU PROJEKATA'!$A$3:$A$34,"=12",'ANALITIKA EU PROJEKATA'!$Q$3:$Q$34,"=36")</f>
        <v>0</v>
      </c>
      <c r="G77" s="138">
        <f>SUMIFS('Plan rashoda za unos u SAP'!$J$3:$J$501,'Plan rashoda za unos u SAP'!$C$3:$C$501,"=31",'Plan rashoda za unos u SAP'!$N$3:$N$501,"=36")+SUMIFS('ANALITIKA EU PROJEKATA'!$H$3:$H$34,'ANALITIKA EU PROJEKATA'!$A$3:$A$34,"=31",'ANALITIKA EU PROJEKATA'!$Q$3:$Q$34,"=36")</f>
        <v>0</v>
      </c>
      <c r="H77" s="138">
        <f>SUMIFS('Plan rashoda za unos u SAP'!$J$3:$J$501,'Plan rashoda za unos u SAP'!$C$3:$C$501,"=41",'Plan rashoda za unos u SAP'!$N$3:$N$501,"=36")+SUMIFS('ANALITIKA EU PROJEKATA'!$H$3:$H$34,'ANALITIKA EU PROJEKATA'!$A$3:$A$34,"=41",'ANALITIKA EU PROJEKATA'!$Q$3:$Q$34,"=36")</f>
        <v>0</v>
      </c>
      <c r="I77" s="138">
        <f>SUMIFS('Plan rashoda za unos u SAP'!$J$3:$J$501,'Plan rashoda za unos u SAP'!$C$3:$C$501,"=43",'Plan rashoda za unos u SAP'!$N$3:$N$501,"=36")+SUMIFS('ANALITIKA EU PROJEKATA'!$H$3:$H$34,'ANALITIKA EU PROJEKATA'!$A$3:$A$34,"=43",'ANALITIKA EU PROJEKATA'!$Q$3:$Q$34,"=36")</f>
        <v>0</v>
      </c>
      <c r="J77" s="138">
        <f>SUMIFS('Plan rashoda za unos u SAP'!$J$3:$J$501,'Plan rashoda za unos u SAP'!$C$3:$C$501,"=51",'Plan rashoda za unos u SAP'!$N$3:$N$501,"=36")+SUMIFS('ANALITIKA EU PROJEKATA'!$H$3:$H$34,'ANALITIKA EU PROJEKATA'!$A$3:$A$34,"=51",'ANALITIKA EU PROJEKATA'!$Q$3:$Q$34,"=36")</f>
        <v>0</v>
      </c>
      <c r="K77" s="138">
        <f>SUMIFS('Plan rashoda za unos u SAP'!$J$3:$J$501,'Plan rashoda za unos u SAP'!$C$3:$C$501,"=52",'Plan rashoda za unos u SAP'!$N$3:$N$501,"=36")+SUMIFS('ANALITIKA EU PROJEKATA'!$H$3:$H$34,'ANALITIKA EU PROJEKATA'!$A$3:$A$34,"=52",'ANALITIKA EU PROJEKATA'!$Q$3:$Q$34,"=36")</f>
        <v>0</v>
      </c>
      <c r="L77" s="138">
        <f>SUMIFS('Plan rashoda za unos u SAP'!$J$3:$J$501,'Plan rashoda za unos u SAP'!$C$3:$C$501,"=552",'Plan rashoda za unos u SAP'!$N$3:$N$501,"=36")+SUMIFS('ANALITIKA EU PROJEKATA'!$H$3:$H$34,'ANALITIKA EU PROJEKATA'!$A$3:$A$34,"=552",'ANALITIKA EU PROJEKATA'!$Q$3:$Q$34,"=36")</f>
        <v>0</v>
      </c>
      <c r="M77" s="138">
        <f>SUMIFS('Plan rashoda za unos u SAP'!$J$3:$J$501,'Plan rashoda za unos u SAP'!$C$3:$C$501,"=559",'Plan rashoda za unos u SAP'!$N$3:$N$501,"=36")+SUMIFS('ANALITIKA EU PROJEKATA'!$H$3:$H$34,'ANALITIKA EU PROJEKATA'!$A$3:$A$34,"=559",'ANALITIKA EU PROJEKATA'!$Q$3:$Q$34,"=36")</f>
        <v>0</v>
      </c>
      <c r="N77" s="138">
        <f>SUMIFS('Plan rashoda za unos u SAP'!$J$3:$J$501,'Plan rashoda za unos u SAP'!$C$3:$C$501,"=561",'Plan rashoda za unos u SAP'!$N$3:$N$501,"=36")+SUMIFS('ANALITIKA EU PROJEKATA'!$H$3:$H$34,'ANALITIKA EU PROJEKATA'!$A$3:$A$34,"=561",'ANALITIKA EU PROJEKATA'!$Q$3:$Q$34,"=36")</f>
        <v>0</v>
      </c>
      <c r="O77" s="138">
        <f>SUMIFS('Plan rashoda za unos u SAP'!$J$3:$J$501,'Plan rashoda za unos u SAP'!$C$3:$C$501,"=563",'Plan rashoda za unos u SAP'!$N$3:$N$501,"=36")+SUMIFS('ANALITIKA EU PROJEKATA'!$H$3:$H$34,'ANALITIKA EU PROJEKATA'!$A$3:$A$34,"=563",'ANALITIKA EU PROJEKATA'!$Q$3:$Q$34,"=36")</f>
        <v>0</v>
      </c>
      <c r="P77" s="138">
        <f>SUMIFS('Plan rashoda za unos u SAP'!$J$3:$J$501,'Plan rashoda za unos u SAP'!$C$3:$C$501,"=573",'Plan rashoda za unos u SAP'!$N$3:$N$501,"=36")+SUMIFS('ANALITIKA EU PROJEKATA'!$H$3:$H$34,'ANALITIKA EU PROJEKATA'!$A$3:$A$34,"=573",'ANALITIKA EU PROJEKATA'!$Q$3:$Q$34,"=36")</f>
        <v>0</v>
      </c>
      <c r="Q77" s="138">
        <f>SUMIFS('Plan rashoda za unos u SAP'!$J$3:$J$501,'Plan rashoda za unos u SAP'!$C$3:$C$501,"=575",'Plan rashoda za unos u SAP'!$N$3:$N$501,"=36")+SUMIFS('ANALITIKA EU PROJEKATA'!$H$3:$H$34,'ANALITIKA EU PROJEKATA'!$A$3:$A$34,"=575",'ANALITIKA EU PROJEKATA'!$Q$3:$Q$34,"=36")</f>
        <v>0</v>
      </c>
      <c r="R77" s="138">
        <f>SUMIFS('Plan rashoda za unos u SAP'!$J$3:$J$501,'Plan rashoda za unos u SAP'!$C$3:$C$501,"=576",'Plan rashoda za unos u SAP'!$N$3:$N$501,"=36")+SUMIFS('ANALITIKA EU PROJEKATA'!$H$3:$H$34,'ANALITIKA EU PROJEKATA'!$A$3:$A$34,"=576",'ANALITIKA EU PROJEKATA'!$Q$3:$Q$34,"=36")</f>
        <v>0</v>
      </c>
      <c r="S77" s="138">
        <f>SUMIFS('Plan rashoda za unos u SAP'!$J$3:$J$501,'Plan rashoda za unos u SAP'!$C$3:$C$501,"=581",'Plan rashoda za unos u SAP'!$N$3:$N$501,"=36")+SUMIFS('ANALITIKA EU PROJEKATA'!$H$3:$H$34,'ANALITIKA EU PROJEKATA'!$A$3:$A$34,"=581",'ANALITIKA EU PROJEKATA'!$Q$3:$Q$34,"=36")</f>
        <v>0</v>
      </c>
      <c r="T77" s="138">
        <f>SUMIFS('Plan rashoda za unos u SAP'!$J$3:$J$501,'Plan rashoda za unos u SAP'!$C$3:$C$501,"=61",'Plan rashoda za unos u SAP'!$N$3:$N$501,"=36")+SUMIFS('ANALITIKA EU PROJEKATA'!$H$3:$H$34,'ANALITIKA EU PROJEKATA'!$A$3:$A$34,"=61",'ANALITIKA EU PROJEKATA'!$Q$3:$Q$34,"=36")</f>
        <v>0</v>
      </c>
      <c r="U77" s="138">
        <f>SUMIFS('Plan rashoda za unos u SAP'!$J$3:$J$501,'Plan rashoda za unos u SAP'!$C$3:$C$501,"=63",'Plan rashoda za unos u SAP'!$N$3:$N$501,"=36")+SUMIFS('ANALITIKA EU PROJEKATA'!$H$3:$H$34,'ANALITIKA EU PROJEKATA'!$A$3:$A$34,"=63",'ANALITIKA EU PROJEKATA'!$Q$3:$Q$34,"=36")</f>
        <v>0</v>
      </c>
      <c r="V77" s="138">
        <f>SUMIFS('Plan rashoda za unos u SAP'!$J$3:$J$501,'Plan rashoda za unos u SAP'!$C$3:$C$501,"=71",'Plan rashoda za unos u SAP'!$N$3:$N$501,"=36")+SUMIFS('ANALITIKA EU PROJEKATA'!$H$3:$H$34,'ANALITIKA EU PROJEKATA'!$A$3:$A$34,"=71",'ANALITIKA EU PROJEKATA'!$Q$3:$Q$34,"=36")</f>
        <v>0</v>
      </c>
      <c r="W77" s="138">
        <f>SUMIFS('Plan rashoda za unos u SAP'!$J$3:$J$501,'Plan rashoda za unos u SAP'!$C$3:$C$501,"=81",'Plan rashoda za unos u SAP'!$N$3:$N$501,"=36")+SUMIFS('ANALITIKA EU PROJEKATA'!$H$3:$H$34,'ANALITIKA EU PROJEKATA'!$A$3:$A$34,"=81",'ANALITIKA EU PROJEKATA'!$Q$3:$Q$34,"=36")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PROJEKATA'!$H$3:$H$34,'ANALITIKA EU PROJEKATA'!$A$3:$A$34,"=11",'ANALITIKA EU PROJEKATA'!$Q$3:$Q$34,"=37")</f>
        <v>0</v>
      </c>
      <c r="F78" s="138">
        <f>SUMIFS('Plan rashoda za unos u SAP'!$J$3:$J$501,'Plan rashoda za unos u SAP'!$C$3:$C$501,"=12",'Plan rashoda za unos u SAP'!$N$3:$N$501,"=37")+SUMIFS('ANALITIKA EU PROJEKATA'!$H$3:$H$34,'ANALITIKA EU PROJEKATA'!$A$3:$A$34,"=12",'ANALITIKA EU PROJEKATA'!$Q$3:$Q$34,"=37")</f>
        <v>0</v>
      </c>
      <c r="G78" s="138">
        <f>SUMIFS('Plan rashoda za unos u SAP'!$J$3:$J$501,'Plan rashoda za unos u SAP'!$C$3:$C$501,"=31",'Plan rashoda za unos u SAP'!$N$3:$N$501,"=37")+SUMIFS('ANALITIKA EU PROJEKATA'!$H$3:$H$34,'ANALITIKA EU PROJEKATA'!$A$3:$A$34,"=31",'ANALITIKA EU PROJEKATA'!$Q$3:$Q$34,"=37")</f>
        <v>0</v>
      </c>
      <c r="H78" s="138">
        <f>SUMIFS('Plan rashoda za unos u SAP'!$J$3:$J$501,'Plan rashoda za unos u SAP'!$C$3:$C$501,"=41",'Plan rashoda za unos u SAP'!$N$3:$N$501,"=37")+SUMIFS('ANALITIKA EU PROJEKATA'!$H$3:$H$34,'ANALITIKA EU PROJEKATA'!$A$3:$A$34,"=41",'ANALITIKA EU PROJEKATA'!$Q$3:$Q$34,"=37")</f>
        <v>0</v>
      </c>
      <c r="I78" s="138">
        <f>SUMIFS('Plan rashoda za unos u SAP'!$J$3:$J$501,'Plan rashoda za unos u SAP'!$C$3:$C$501,"=43",'Plan rashoda za unos u SAP'!$N$3:$N$501,"=37")+SUMIFS('ANALITIKA EU PROJEKATA'!$H$3:$H$34,'ANALITIKA EU PROJEKATA'!$A$3:$A$34,"=43",'ANALITIKA EU PROJEKATA'!$Q$3:$Q$34,"=37")</f>
        <v>0</v>
      </c>
      <c r="J78" s="138">
        <f>SUMIFS('Plan rashoda za unos u SAP'!$J$3:$J$501,'Plan rashoda za unos u SAP'!$C$3:$C$501,"=51",'Plan rashoda za unos u SAP'!$N$3:$N$501,"=37")+SUMIFS('ANALITIKA EU PROJEKATA'!$H$3:$H$34,'ANALITIKA EU PROJEKATA'!$A$3:$A$34,"=51",'ANALITIKA EU PROJEKATA'!$Q$3:$Q$34,"=37")</f>
        <v>0</v>
      </c>
      <c r="K78" s="138">
        <f>SUMIFS('Plan rashoda za unos u SAP'!$J$3:$J$501,'Plan rashoda za unos u SAP'!$C$3:$C$501,"=52",'Plan rashoda za unos u SAP'!$N$3:$N$501,"=37")+SUMIFS('ANALITIKA EU PROJEKATA'!$H$3:$H$34,'ANALITIKA EU PROJEKATA'!$A$3:$A$34,"=52",'ANALITIKA EU PROJEKATA'!$Q$3:$Q$34,"=37")</f>
        <v>0</v>
      </c>
      <c r="L78" s="138">
        <f>SUMIFS('Plan rashoda za unos u SAP'!$J$3:$J$501,'Plan rashoda za unos u SAP'!$C$3:$C$501,"=552",'Plan rashoda za unos u SAP'!$N$3:$N$501,"=37")+SUMIFS('ANALITIKA EU PROJEKATA'!$H$3:$H$34,'ANALITIKA EU PROJEKATA'!$A$3:$A$34,"=552",'ANALITIKA EU PROJEKATA'!$Q$3:$Q$34,"=37")</f>
        <v>0</v>
      </c>
      <c r="M78" s="138">
        <f>SUMIFS('Plan rashoda za unos u SAP'!$J$3:$J$501,'Plan rashoda za unos u SAP'!$C$3:$C$501,"=559",'Plan rashoda za unos u SAP'!$N$3:$N$501,"=37")+SUMIFS('ANALITIKA EU PROJEKATA'!$H$3:$H$34,'ANALITIKA EU PROJEKATA'!$A$3:$A$34,"=559",'ANALITIKA EU PROJEKATA'!$Q$3:$Q$34,"=37")</f>
        <v>0</v>
      </c>
      <c r="N78" s="138">
        <f>SUMIFS('Plan rashoda za unos u SAP'!$J$3:$J$501,'Plan rashoda za unos u SAP'!$C$3:$C$501,"=561",'Plan rashoda za unos u SAP'!$N$3:$N$501,"=37")+SUMIFS('ANALITIKA EU PROJEKATA'!$H$3:$H$34,'ANALITIKA EU PROJEKATA'!$A$3:$A$34,"=561",'ANALITIKA EU PROJEKATA'!$Q$3:$Q$34,"=37")</f>
        <v>0</v>
      </c>
      <c r="O78" s="138">
        <f>SUMIFS('Plan rashoda za unos u SAP'!$J$3:$J$501,'Plan rashoda za unos u SAP'!$C$3:$C$501,"=563",'Plan rashoda za unos u SAP'!$N$3:$N$501,"=37")+SUMIFS('ANALITIKA EU PROJEKATA'!$H$3:$H$34,'ANALITIKA EU PROJEKATA'!$A$3:$A$34,"=563",'ANALITIKA EU PROJEKATA'!$Q$3:$Q$34,"=37")</f>
        <v>0</v>
      </c>
      <c r="P78" s="138">
        <f>SUMIFS('Plan rashoda za unos u SAP'!$J$3:$J$501,'Plan rashoda za unos u SAP'!$C$3:$C$501,"=573",'Plan rashoda za unos u SAP'!$N$3:$N$501,"=37")+SUMIFS('ANALITIKA EU PROJEKATA'!$H$3:$H$34,'ANALITIKA EU PROJEKATA'!$A$3:$A$34,"=573",'ANALITIKA EU PROJEKATA'!$Q$3:$Q$34,"=37")</f>
        <v>0</v>
      </c>
      <c r="Q78" s="138">
        <f>SUMIFS('Plan rashoda za unos u SAP'!$J$3:$J$501,'Plan rashoda za unos u SAP'!$C$3:$C$501,"=575",'Plan rashoda za unos u SAP'!$N$3:$N$501,"=37")+SUMIFS('ANALITIKA EU PROJEKATA'!$H$3:$H$34,'ANALITIKA EU PROJEKATA'!$A$3:$A$34,"=575",'ANALITIKA EU PROJEKATA'!$Q$3:$Q$34,"=37")</f>
        <v>0</v>
      </c>
      <c r="R78" s="138">
        <f>SUMIFS('Plan rashoda za unos u SAP'!$J$3:$J$501,'Plan rashoda za unos u SAP'!$C$3:$C$501,"=576",'Plan rashoda za unos u SAP'!$N$3:$N$501,"=37")+SUMIFS('ANALITIKA EU PROJEKATA'!$H$3:$H$34,'ANALITIKA EU PROJEKATA'!$A$3:$A$34,"=576",'ANALITIKA EU PROJEKATA'!$Q$3:$Q$34,"=37")</f>
        <v>0</v>
      </c>
      <c r="S78" s="138">
        <f>SUMIFS('Plan rashoda za unos u SAP'!$J$3:$J$501,'Plan rashoda za unos u SAP'!$C$3:$C$501,"=581",'Plan rashoda za unos u SAP'!$N$3:$N$501,"=37")+SUMIFS('ANALITIKA EU PROJEKATA'!$H$3:$H$34,'ANALITIKA EU PROJEKATA'!$A$3:$A$34,"=581",'ANALITIKA EU PROJEKATA'!$Q$3:$Q$34,"=37")</f>
        <v>0</v>
      </c>
      <c r="T78" s="138">
        <f>SUMIFS('Plan rashoda za unos u SAP'!$J$3:$J$501,'Plan rashoda za unos u SAP'!$C$3:$C$501,"=61",'Plan rashoda za unos u SAP'!$N$3:$N$501,"=37")+SUMIFS('ANALITIKA EU PROJEKATA'!$H$3:$H$34,'ANALITIKA EU PROJEKATA'!$A$3:$A$34,"=61",'ANALITIKA EU PROJEKATA'!$Q$3:$Q$34,"=37")</f>
        <v>0</v>
      </c>
      <c r="U78" s="138">
        <f>SUMIFS('Plan rashoda za unos u SAP'!$J$3:$J$501,'Plan rashoda za unos u SAP'!$C$3:$C$501,"=63",'Plan rashoda za unos u SAP'!$N$3:$N$501,"=37")+SUMIFS('ANALITIKA EU PROJEKATA'!$H$3:$H$34,'ANALITIKA EU PROJEKATA'!$A$3:$A$34,"=63",'ANALITIKA EU PROJEKATA'!$Q$3:$Q$34,"=37")</f>
        <v>0</v>
      </c>
      <c r="V78" s="138">
        <f>SUMIFS('Plan rashoda za unos u SAP'!$J$3:$J$501,'Plan rashoda za unos u SAP'!$C$3:$C$501,"=71",'Plan rashoda za unos u SAP'!$N$3:$N$501,"=37")+SUMIFS('ANALITIKA EU PROJEKATA'!$H$3:$H$34,'ANALITIKA EU PROJEKATA'!$A$3:$A$34,"=71",'ANALITIKA EU PROJEKATA'!$Q$3:$Q$34,"=37")</f>
        <v>0</v>
      </c>
      <c r="W78" s="138">
        <f>SUMIFS('Plan rashoda za unos u SAP'!$J$3:$J$501,'Plan rashoda za unos u SAP'!$C$3:$C$501,"=81",'Plan rashoda za unos u SAP'!$N$3:$N$501,"=37")+SUMIFS('ANALITIKA EU PROJEKATA'!$H$3:$H$34,'ANALITIKA EU PROJEKATA'!$A$3:$A$34,"=81",'ANALITIKA EU PROJEKATA'!$Q$3:$Q$34,"=37")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PROJEKATA'!$H$3:$H$34,'ANALITIKA EU PROJEKATA'!$A$3:$A$34,"=11",'ANALITIKA EU PROJEKATA'!$Q$3:$Q$34,"=38")</f>
        <v>0</v>
      </c>
      <c r="F79" s="138">
        <f>SUMIFS('Plan rashoda za unos u SAP'!$J$3:$J$501,'Plan rashoda za unos u SAP'!$C$3:$C$501,"=12",'Plan rashoda za unos u SAP'!$N$3:$N$501,"=38")+SUMIFS('ANALITIKA EU PROJEKATA'!$H$3:$H$34,'ANALITIKA EU PROJEKATA'!$A$3:$A$34,"=12",'ANALITIKA EU PROJEKATA'!$Q$3:$Q$34,"=38")</f>
        <v>0</v>
      </c>
      <c r="G79" s="138">
        <f>SUMIFS('Plan rashoda za unos u SAP'!$J$3:$J$501,'Plan rashoda za unos u SAP'!$C$3:$C$501,"=31",'Plan rashoda za unos u SAP'!$N$3:$N$501,"=38")+SUMIFS('ANALITIKA EU PROJEKATA'!$H$3:$H$34,'ANALITIKA EU PROJEKATA'!$A$3:$A$34,"=31",'ANALITIKA EU PROJEKATA'!$Q$3:$Q$34,"=38")</f>
        <v>0</v>
      </c>
      <c r="H79" s="138">
        <f>SUMIFS('Plan rashoda za unos u SAP'!$J$3:$J$501,'Plan rashoda za unos u SAP'!$C$3:$C$501,"=41",'Plan rashoda za unos u SAP'!$N$3:$N$501,"=38")+SUMIFS('ANALITIKA EU PROJEKATA'!$H$3:$H$34,'ANALITIKA EU PROJEKATA'!$A$3:$A$34,"=41",'ANALITIKA EU PROJEKATA'!$Q$3:$Q$34,"=38")</f>
        <v>0</v>
      </c>
      <c r="I79" s="138">
        <f>SUMIFS('Plan rashoda za unos u SAP'!$J$3:$J$501,'Plan rashoda za unos u SAP'!$C$3:$C$501,"=43",'Plan rashoda za unos u SAP'!$N$3:$N$501,"=38")+SUMIFS('ANALITIKA EU PROJEKATA'!$H$3:$H$34,'ANALITIKA EU PROJEKATA'!$A$3:$A$34,"=43",'ANALITIKA EU PROJEKATA'!$Q$3:$Q$34,"=38")</f>
        <v>0</v>
      </c>
      <c r="J79" s="138">
        <f>SUMIFS('Plan rashoda za unos u SAP'!$J$3:$J$501,'Plan rashoda za unos u SAP'!$C$3:$C$501,"=51",'Plan rashoda za unos u SAP'!$N$3:$N$501,"=38")+SUMIFS('ANALITIKA EU PROJEKATA'!$H$3:$H$34,'ANALITIKA EU PROJEKATA'!$A$3:$A$34,"=51",'ANALITIKA EU PROJEKATA'!$Q$3:$Q$34,"=38")</f>
        <v>0</v>
      </c>
      <c r="K79" s="138">
        <f>SUMIFS('Plan rashoda za unos u SAP'!$J$3:$J$501,'Plan rashoda za unos u SAP'!$C$3:$C$501,"=52",'Plan rashoda za unos u SAP'!$N$3:$N$501,"=38")+SUMIFS('ANALITIKA EU PROJEKATA'!$H$3:$H$34,'ANALITIKA EU PROJEKATA'!$A$3:$A$34,"=52",'ANALITIKA EU PROJEKATA'!$Q$3:$Q$34,"=38")</f>
        <v>0</v>
      </c>
      <c r="L79" s="138">
        <f>SUMIFS('Plan rashoda za unos u SAP'!$J$3:$J$501,'Plan rashoda za unos u SAP'!$C$3:$C$501,"=552",'Plan rashoda za unos u SAP'!$N$3:$N$501,"=38")+SUMIFS('ANALITIKA EU PROJEKATA'!$H$3:$H$34,'ANALITIKA EU PROJEKATA'!$A$3:$A$34,"=552",'ANALITIKA EU PROJEKATA'!$Q$3:$Q$34,"=38")</f>
        <v>0</v>
      </c>
      <c r="M79" s="138">
        <f>SUMIFS('Plan rashoda za unos u SAP'!$J$3:$J$501,'Plan rashoda za unos u SAP'!$C$3:$C$501,"=559",'Plan rashoda za unos u SAP'!$N$3:$N$501,"=38")+SUMIFS('ANALITIKA EU PROJEKATA'!$H$3:$H$34,'ANALITIKA EU PROJEKATA'!$A$3:$A$34,"=559",'ANALITIKA EU PROJEKATA'!$Q$3:$Q$34,"=38")</f>
        <v>0</v>
      </c>
      <c r="N79" s="138">
        <f>SUMIFS('Plan rashoda za unos u SAP'!$J$3:$J$501,'Plan rashoda za unos u SAP'!$C$3:$C$501,"=561",'Plan rashoda za unos u SAP'!$N$3:$N$501,"=38")+SUMIFS('ANALITIKA EU PROJEKATA'!$H$3:$H$34,'ANALITIKA EU PROJEKATA'!$A$3:$A$34,"=561",'ANALITIKA EU PROJEKATA'!$Q$3:$Q$34,"=38")</f>
        <v>0</v>
      </c>
      <c r="O79" s="138">
        <f>SUMIFS('Plan rashoda za unos u SAP'!$J$3:$J$501,'Plan rashoda za unos u SAP'!$C$3:$C$501,"=563",'Plan rashoda za unos u SAP'!$N$3:$N$501,"=38")+SUMIFS('ANALITIKA EU PROJEKATA'!$H$3:$H$34,'ANALITIKA EU PROJEKATA'!$A$3:$A$34,"=563",'ANALITIKA EU PROJEKATA'!$Q$3:$Q$34,"=38")</f>
        <v>0</v>
      </c>
      <c r="P79" s="138">
        <f>SUMIFS('Plan rashoda za unos u SAP'!$J$3:$J$501,'Plan rashoda za unos u SAP'!$C$3:$C$501,"=573",'Plan rashoda za unos u SAP'!$N$3:$N$501,"=38")+SUMIFS('ANALITIKA EU PROJEKATA'!$H$3:$H$34,'ANALITIKA EU PROJEKATA'!$A$3:$A$34,"=573",'ANALITIKA EU PROJEKATA'!$Q$3:$Q$34,"=38")</f>
        <v>0</v>
      </c>
      <c r="Q79" s="138">
        <f>SUMIFS('Plan rashoda za unos u SAP'!$J$3:$J$501,'Plan rashoda za unos u SAP'!$C$3:$C$501,"=575",'Plan rashoda za unos u SAP'!$N$3:$N$501,"=38")+SUMIFS('ANALITIKA EU PROJEKATA'!$H$3:$H$34,'ANALITIKA EU PROJEKATA'!$A$3:$A$34,"=575",'ANALITIKA EU PROJEKATA'!$Q$3:$Q$34,"=38")</f>
        <v>0</v>
      </c>
      <c r="R79" s="138">
        <f>SUMIFS('Plan rashoda za unos u SAP'!$J$3:$J$501,'Plan rashoda za unos u SAP'!$C$3:$C$501,"=576",'Plan rashoda za unos u SAP'!$N$3:$N$501,"=38")+SUMIFS('ANALITIKA EU PROJEKATA'!$H$3:$H$34,'ANALITIKA EU PROJEKATA'!$A$3:$A$34,"=576",'ANALITIKA EU PROJEKATA'!$Q$3:$Q$34,"=38")</f>
        <v>0</v>
      </c>
      <c r="S79" s="138">
        <f>SUMIFS('Plan rashoda za unos u SAP'!$J$3:$J$501,'Plan rashoda za unos u SAP'!$C$3:$C$501,"=581",'Plan rashoda za unos u SAP'!$N$3:$N$501,"=38")+SUMIFS('ANALITIKA EU PROJEKATA'!$H$3:$H$34,'ANALITIKA EU PROJEKATA'!$A$3:$A$34,"=581",'ANALITIKA EU PROJEKATA'!$Q$3:$Q$34,"=38")</f>
        <v>0</v>
      </c>
      <c r="T79" s="138">
        <f>SUMIFS('Plan rashoda za unos u SAP'!$J$3:$J$501,'Plan rashoda za unos u SAP'!$C$3:$C$501,"=61",'Plan rashoda za unos u SAP'!$N$3:$N$501,"=38")+SUMIFS('ANALITIKA EU PROJEKATA'!$H$3:$H$34,'ANALITIKA EU PROJEKATA'!$A$3:$A$34,"=61",'ANALITIKA EU PROJEKATA'!$Q$3:$Q$34,"=38")</f>
        <v>0</v>
      </c>
      <c r="U79" s="138">
        <f>SUMIFS('Plan rashoda za unos u SAP'!$J$3:$J$501,'Plan rashoda za unos u SAP'!$C$3:$C$501,"=63",'Plan rashoda za unos u SAP'!$N$3:$N$501,"=38")+SUMIFS('ANALITIKA EU PROJEKATA'!$H$3:$H$34,'ANALITIKA EU PROJEKATA'!$A$3:$A$34,"=63",'ANALITIKA EU PROJEKATA'!$Q$3:$Q$34,"=38")</f>
        <v>0</v>
      </c>
      <c r="V79" s="138">
        <f>SUMIFS('Plan rashoda za unos u SAP'!$J$3:$J$501,'Plan rashoda za unos u SAP'!$C$3:$C$501,"=71",'Plan rashoda za unos u SAP'!$N$3:$N$501,"=38")+SUMIFS('ANALITIKA EU PROJEKATA'!$H$3:$H$34,'ANALITIKA EU PROJEKATA'!$A$3:$A$34,"=71",'ANALITIKA EU PROJEKATA'!$Q$3:$Q$34,"=38")</f>
        <v>0</v>
      </c>
      <c r="W79" s="138">
        <f>SUMIFS('Plan rashoda za unos u SAP'!$J$3:$J$501,'Plan rashoda za unos u SAP'!$C$3:$C$501,"=81",'Plan rashoda za unos u SAP'!$N$3:$N$501,"=38")+SUMIFS('ANALITIKA EU PROJEKATA'!$H$3:$H$34,'ANALITIKA EU PROJEKATA'!$A$3:$A$34,"=81",'ANALITIKA EU PROJEKATA'!$Q$3:$Q$34,"=38")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755000</v>
      </c>
      <c r="E80" s="131">
        <f t="shared" ref="E80:W80" si="25">SUM(E81:E85)</f>
        <v>0</v>
      </c>
      <c r="F80" s="131">
        <f t="shared" si="25"/>
        <v>0</v>
      </c>
      <c r="G80" s="131">
        <f t="shared" si="25"/>
        <v>40000</v>
      </c>
      <c r="H80" s="131">
        <f>SUM(H81:H85)</f>
        <v>0</v>
      </c>
      <c r="I80" s="131">
        <f t="shared" si="25"/>
        <v>650000</v>
      </c>
      <c r="J80" s="131">
        <f t="shared" si="25"/>
        <v>0</v>
      </c>
      <c r="K80" s="131">
        <f t="shared" si="25"/>
        <v>65000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PROJEKATA'!$H$3:$H$34,'ANALITIKA EU PROJEKATA'!$A$3:$A$34,"=11",'ANALITIKA EU PROJEKATA'!$Q$3:$Q$34,"=41")</f>
        <v>0</v>
      </c>
      <c r="F81" s="138">
        <f>SUMIFS('Plan rashoda za unos u SAP'!$J$3:$J$501,'Plan rashoda za unos u SAP'!$C$3:$C$501,"=12",'Plan rashoda za unos u SAP'!$N$3:$N$501,"=41")+SUMIFS('ANALITIKA EU PROJEKATA'!$H$3:$H$34,'ANALITIKA EU PROJEKATA'!$A$3:$A$34,"=12",'ANALITIKA EU PROJEKATA'!$Q$3:$Q$34,"=41")</f>
        <v>0</v>
      </c>
      <c r="G81" s="138">
        <f>SUMIFS('Plan rashoda za unos u SAP'!$J$3:$J$501,'Plan rashoda za unos u SAP'!$C$3:$C$501,"=31",'Plan rashoda za unos u SAP'!$N$3:$N$501,"=41")+SUMIFS('ANALITIKA EU PROJEKATA'!$H$3:$H$34,'ANALITIKA EU PROJEKATA'!$A$3:$A$34,"=31",'ANALITIKA EU PROJEKATA'!$Q$3:$Q$34,"=41")</f>
        <v>0</v>
      </c>
      <c r="H81" s="138">
        <f>SUMIFS('Plan rashoda za unos u SAP'!$J$3:$J$501,'Plan rashoda za unos u SAP'!$C$3:$C$501,"=41",'Plan rashoda za unos u SAP'!$N$3:$N$501,"=41")+SUMIFS('ANALITIKA EU PROJEKATA'!$H$3:$H$34,'ANALITIKA EU PROJEKATA'!$A$3:$A$34,"=41",'ANALITIKA EU PROJEKATA'!$Q$3:$Q$34,"=41")</f>
        <v>0</v>
      </c>
      <c r="I81" s="138">
        <f>SUMIFS('Plan rashoda za unos u SAP'!$J$3:$J$501,'Plan rashoda za unos u SAP'!$C$3:$C$501,"=43",'Plan rashoda za unos u SAP'!$N$3:$N$501,"=41")+SUMIFS('ANALITIKA EU PROJEKATA'!$H$3:$H$34,'ANALITIKA EU PROJEKATA'!$A$3:$A$34,"=43",'ANALITIKA EU PROJEKATA'!$Q$3:$Q$34,"=41")</f>
        <v>0</v>
      </c>
      <c r="J81" s="138">
        <f>SUMIFS('Plan rashoda za unos u SAP'!$J$3:$J$501,'Plan rashoda za unos u SAP'!$C$3:$C$501,"=51",'Plan rashoda za unos u SAP'!$N$3:$N$501,"=41")+SUMIFS('ANALITIKA EU PROJEKATA'!$H$3:$H$34,'ANALITIKA EU PROJEKATA'!$A$3:$A$34,"=51",'ANALITIKA EU PROJEKATA'!$Q$3:$Q$34,"=41")</f>
        <v>0</v>
      </c>
      <c r="K81" s="138">
        <f>SUMIFS('Plan rashoda za unos u SAP'!$J$3:$J$501,'Plan rashoda za unos u SAP'!$C$3:$C$501,"=52",'Plan rashoda za unos u SAP'!$N$3:$N$501,"=41")+SUMIFS('ANALITIKA EU PROJEKATA'!$H$3:$H$34,'ANALITIKA EU PROJEKATA'!$A$3:$A$34,"=52",'ANALITIKA EU PROJEKATA'!$Q$3:$Q$34,"=41")</f>
        <v>0</v>
      </c>
      <c r="L81" s="138">
        <f>SUMIFS('Plan rashoda za unos u SAP'!$J$3:$J$501,'Plan rashoda za unos u SAP'!$C$3:$C$501,"=552",'Plan rashoda za unos u SAP'!$N$3:$N$501,"=41")+SUMIFS('ANALITIKA EU PROJEKATA'!$H$3:$H$34,'ANALITIKA EU PROJEKATA'!$A$3:$A$34,"=552",'ANALITIKA EU PROJEKATA'!$Q$3:$Q$34,"=41")</f>
        <v>0</v>
      </c>
      <c r="M81" s="138">
        <f>SUMIFS('Plan rashoda za unos u SAP'!$J$3:$J$501,'Plan rashoda za unos u SAP'!$C$3:$C$501,"=559",'Plan rashoda za unos u SAP'!$N$3:$N$501,"=41")+SUMIFS('ANALITIKA EU PROJEKATA'!$H$3:$H$34,'ANALITIKA EU PROJEKATA'!$A$3:$A$34,"=559",'ANALITIKA EU PROJEKATA'!$Q$3:$Q$34,"=41")</f>
        <v>0</v>
      </c>
      <c r="N81" s="138">
        <f>SUMIFS('Plan rashoda za unos u SAP'!$J$3:$J$501,'Plan rashoda za unos u SAP'!$C$3:$C$501,"=561",'Plan rashoda za unos u SAP'!$N$3:$N$501,"=41")+SUMIFS('ANALITIKA EU PROJEKATA'!$H$3:$H$34,'ANALITIKA EU PROJEKATA'!$A$3:$A$34,"=561",'ANALITIKA EU PROJEKATA'!$Q$3:$Q$34,"=41")</f>
        <v>0</v>
      </c>
      <c r="O81" s="138">
        <f>SUMIFS('Plan rashoda za unos u SAP'!$J$3:$J$501,'Plan rashoda za unos u SAP'!$C$3:$C$501,"=563",'Plan rashoda za unos u SAP'!$N$3:$N$501,"=41")+SUMIFS('ANALITIKA EU PROJEKATA'!$H$3:$H$34,'ANALITIKA EU PROJEKATA'!$A$3:$A$34,"=563",'ANALITIKA EU PROJEKATA'!$Q$3:$Q$34,"=41")</f>
        <v>0</v>
      </c>
      <c r="P81" s="138">
        <f>SUMIFS('Plan rashoda za unos u SAP'!$J$3:$J$501,'Plan rashoda za unos u SAP'!$C$3:$C$501,"=573",'Plan rashoda za unos u SAP'!$N$3:$N$501,"=41")+SUMIFS('ANALITIKA EU PROJEKATA'!$H$3:$H$34,'ANALITIKA EU PROJEKATA'!$A$3:$A$34,"=573",'ANALITIKA EU PROJEKATA'!$Q$3:$Q$34,"=41")</f>
        <v>0</v>
      </c>
      <c r="Q81" s="138">
        <f>SUMIFS('Plan rashoda za unos u SAP'!$J$3:$J$501,'Plan rashoda za unos u SAP'!$C$3:$C$501,"=575",'Plan rashoda za unos u SAP'!$N$3:$N$501,"=41")+SUMIFS('ANALITIKA EU PROJEKATA'!$H$3:$H$34,'ANALITIKA EU PROJEKATA'!$A$3:$A$34,"=575",'ANALITIKA EU PROJEKATA'!$Q$3:$Q$34,"=41")</f>
        <v>0</v>
      </c>
      <c r="R81" s="138">
        <f>SUMIFS('Plan rashoda za unos u SAP'!$J$3:$J$501,'Plan rashoda za unos u SAP'!$C$3:$C$501,"=576",'Plan rashoda za unos u SAP'!$N$3:$N$501,"=41")+SUMIFS('ANALITIKA EU PROJEKATA'!$H$3:$H$34,'ANALITIKA EU PROJEKATA'!$A$3:$A$34,"=576",'ANALITIKA EU PROJEKATA'!$Q$3:$Q$34,"=41")</f>
        <v>0</v>
      </c>
      <c r="S81" s="138">
        <f>SUMIFS('Plan rashoda za unos u SAP'!$J$3:$J$501,'Plan rashoda za unos u SAP'!$C$3:$C$501,"=581",'Plan rashoda za unos u SAP'!$N$3:$N$501,"=41")+SUMIFS('ANALITIKA EU PROJEKATA'!$H$3:$H$34,'ANALITIKA EU PROJEKATA'!$A$3:$A$34,"=581",'ANALITIKA EU PROJEKATA'!$Q$3:$Q$34,"=41")</f>
        <v>0</v>
      </c>
      <c r="T81" s="138">
        <f>SUMIFS('Plan rashoda za unos u SAP'!$J$3:$J$501,'Plan rashoda za unos u SAP'!$C$3:$C$501,"=61",'Plan rashoda za unos u SAP'!$N$3:$N$501,"=41")+SUMIFS('ANALITIKA EU PROJEKATA'!$H$3:$H$34,'ANALITIKA EU PROJEKATA'!$A$3:$A$34,"=61",'ANALITIKA EU PROJEKATA'!$Q$3:$Q$34,"=41")</f>
        <v>0</v>
      </c>
      <c r="U81" s="138">
        <f>SUMIFS('Plan rashoda za unos u SAP'!$J$3:$J$501,'Plan rashoda za unos u SAP'!$C$3:$C$501,"=63",'Plan rashoda za unos u SAP'!$N$3:$N$501,"=41")+SUMIFS('ANALITIKA EU PROJEKATA'!$H$3:$H$34,'ANALITIKA EU PROJEKATA'!$A$3:$A$34,"=63",'ANALITIKA EU PROJEKATA'!$Q$3:$Q$34,"=41")</f>
        <v>0</v>
      </c>
      <c r="V81" s="138">
        <f>SUMIFS('Plan rashoda za unos u SAP'!$J$3:$J$501,'Plan rashoda za unos u SAP'!$C$3:$C$501,"=71",'Plan rashoda za unos u SAP'!$N$3:$N$501,"=41")+SUMIFS('ANALITIKA EU PROJEKATA'!$H$3:$H$34,'ANALITIKA EU PROJEKATA'!$A$3:$A$34,"=71",'ANALITIKA EU PROJEKATA'!$Q$3:$Q$34,"=41")</f>
        <v>0</v>
      </c>
      <c r="W81" s="138">
        <f>SUMIFS('Plan rashoda za unos u SAP'!$J$3:$J$501,'Plan rashoda za unos u SAP'!$C$3:$C$501,"=81",'Plan rashoda za unos u SAP'!$N$3:$N$501,"=41")+SUMIFS('ANALITIKA EU PROJEKATA'!$H$3:$H$34,'ANALITIKA EU PROJEKATA'!$A$3:$A$34,"=81",'ANALITIKA EU PROJEKATA'!$Q$3:$Q$34,"=41")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755000</v>
      </c>
      <c r="E82" s="138">
        <f>SUMIFS('Plan rashoda za unos u SAP'!$J$3:$J$501,'Plan rashoda za unos u SAP'!$C$3:$C$501,"=11",'Plan rashoda za unos u SAP'!$N$3:$N$501,"=42")+SUMIFS('ANALITIKA EU PROJEKATA'!$H$3:$H$34,'ANALITIKA EU PROJEKATA'!$A$3:$A$34,"=11",'ANALITIKA EU PROJEKATA'!$Q$3:$Q$34,"=42")</f>
        <v>0</v>
      </c>
      <c r="F82" s="138">
        <f>SUMIFS('Plan rashoda za unos u SAP'!$J$3:$J$501,'Plan rashoda za unos u SAP'!$C$3:$C$501,"=12",'Plan rashoda za unos u SAP'!$N$3:$N$501,"=42")+SUMIFS('ANALITIKA EU PROJEKATA'!$H$3:$H$34,'ANALITIKA EU PROJEKATA'!$A$3:$A$34,"=12",'ANALITIKA EU PROJEKATA'!$Q$3:$Q$34,"=42")</f>
        <v>0</v>
      </c>
      <c r="G82" s="138">
        <f>SUMIFS('Plan rashoda za unos u SAP'!$J$3:$J$501,'Plan rashoda za unos u SAP'!$C$3:$C$501,"=31",'Plan rashoda za unos u SAP'!$N$3:$N$501,"=42")+SUMIFS('ANALITIKA EU PROJEKATA'!$H$3:$H$34,'ANALITIKA EU PROJEKATA'!$A$3:$A$34,"=31",'ANALITIKA EU PROJEKATA'!$Q$3:$Q$34,"=42")</f>
        <v>40000</v>
      </c>
      <c r="H82" s="138">
        <f>SUMIFS('Plan rashoda za unos u SAP'!$J$3:$J$501,'Plan rashoda za unos u SAP'!$C$3:$C$501,"=41",'Plan rashoda za unos u SAP'!$N$3:$N$501,"=42")+SUMIFS('ANALITIKA EU PROJEKATA'!$H$3:$H$34,'ANALITIKA EU PROJEKATA'!$A$3:$A$34,"=41",'ANALITIKA EU PROJEKATA'!$Q$3:$Q$34,"=42")</f>
        <v>0</v>
      </c>
      <c r="I82" s="138">
        <f>SUMIFS('Plan rashoda za unos u SAP'!$J$3:$J$501,'Plan rashoda za unos u SAP'!$C$3:$C$501,"=43",'Plan rashoda za unos u SAP'!$N$3:$N$501,"=42")+SUMIFS('ANALITIKA EU PROJEKATA'!$H$3:$H$34,'ANALITIKA EU PROJEKATA'!$A$3:$A$34,"=43",'ANALITIKA EU PROJEKATA'!$Q$3:$Q$34,"=42")</f>
        <v>650000</v>
      </c>
      <c r="J82" s="138">
        <f>SUMIFS('Plan rashoda za unos u SAP'!$J$3:$J$501,'Plan rashoda za unos u SAP'!$C$3:$C$501,"=51",'Plan rashoda za unos u SAP'!$N$3:$N$501,"=42")+SUMIFS('ANALITIKA EU PROJEKATA'!$H$3:$H$34,'ANALITIKA EU PROJEKATA'!$A$3:$A$34,"=51",'ANALITIKA EU PROJEKATA'!$Q$3:$Q$34,"=42")</f>
        <v>0</v>
      </c>
      <c r="K82" s="138">
        <f>SUMIFS('Plan rashoda za unos u SAP'!$J$3:$J$501,'Plan rashoda za unos u SAP'!$C$3:$C$501,"=52",'Plan rashoda za unos u SAP'!$N$3:$N$501,"=42")+SUMIFS('ANALITIKA EU PROJEKATA'!$H$3:$H$34,'ANALITIKA EU PROJEKATA'!$A$3:$A$34,"=52",'ANALITIKA EU PROJEKATA'!$Q$3:$Q$34,"=42")</f>
        <v>65000</v>
      </c>
      <c r="L82" s="138">
        <f>SUMIFS('Plan rashoda za unos u SAP'!$J$3:$J$501,'Plan rashoda za unos u SAP'!$C$3:$C$501,"=552",'Plan rashoda za unos u SAP'!$N$3:$N$501,"=42")+SUMIFS('ANALITIKA EU PROJEKATA'!$H$3:$H$34,'ANALITIKA EU PROJEKATA'!$A$3:$A$34,"=552",'ANALITIKA EU PROJEKATA'!$Q$3:$Q$34,"=42")</f>
        <v>0</v>
      </c>
      <c r="M82" s="138">
        <f>SUMIFS('Plan rashoda za unos u SAP'!$J$3:$J$501,'Plan rashoda za unos u SAP'!$C$3:$C$501,"=559",'Plan rashoda za unos u SAP'!$N$3:$N$501,"=42")+SUMIFS('ANALITIKA EU PROJEKATA'!$H$3:$H$34,'ANALITIKA EU PROJEKATA'!$A$3:$A$34,"=559",'ANALITIKA EU PROJEKATA'!$Q$3:$Q$34,"=42")</f>
        <v>0</v>
      </c>
      <c r="N82" s="138">
        <f>SUMIFS('Plan rashoda za unos u SAP'!$J$3:$J$501,'Plan rashoda za unos u SAP'!$C$3:$C$501,"=561",'Plan rashoda za unos u SAP'!$N$3:$N$501,"=42")+SUMIFS('ANALITIKA EU PROJEKATA'!$H$3:$H$34,'ANALITIKA EU PROJEKATA'!$A$3:$A$34,"=561",'ANALITIKA EU PROJEKATA'!$Q$3:$Q$34,"=42")</f>
        <v>0</v>
      </c>
      <c r="O82" s="138">
        <f>SUMIFS('Plan rashoda za unos u SAP'!$J$3:$J$501,'Plan rashoda za unos u SAP'!$C$3:$C$501,"=563",'Plan rashoda za unos u SAP'!$N$3:$N$501,"=42")+SUMIFS('ANALITIKA EU PROJEKATA'!$H$3:$H$34,'ANALITIKA EU PROJEKATA'!$A$3:$A$34,"=563",'ANALITIKA EU PROJEKATA'!$Q$3:$Q$34,"=42")</f>
        <v>0</v>
      </c>
      <c r="P82" s="138">
        <f>SUMIFS('Plan rashoda za unos u SAP'!$J$3:$J$501,'Plan rashoda za unos u SAP'!$C$3:$C$501,"=573",'Plan rashoda za unos u SAP'!$N$3:$N$501,"=42")+SUMIFS('ANALITIKA EU PROJEKATA'!$H$3:$H$34,'ANALITIKA EU PROJEKATA'!$A$3:$A$34,"=573",'ANALITIKA EU PROJEKATA'!$Q$3:$Q$34,"=42")</f>
        <v>0</v>
      </c>
      <c r="Q82" s="138">
        <f>SUMIFS('Plan rashoda za unos u SAP'!$J$3:$J$501,'Plan rashoda za unos u SAP'!$C$3:$C$501,"=575",'Plan rashoda za unos u SAP'!$N$3:$N$501,"=42")+SUMIFS('ANALITIKA EU PROJEKATA'!$H$3:$H$34,'ANALITIKA EU PROJEKATA'!$A$3:$A$34,"=575",'ANALITIKA EU PROJEKATA'!$Q$3:$Q$34,"=42")</f>
        <v>0</v>
      </c>
      <c r="R82" s="138">
        <f>SUMIFS('Plan rashoda za unos u SAP'!$J$3:$J$501,'Plan rashoda za unos u SAP'!$C$3:$C$501,"=576",'Plan rashoda za unos u SAP'!$N$3:$N$501,"=42")+SUMIFS('ANALITIKA EU PROJEKATA'!$H$3:$H$34,'ANALITIKA EU PROJEKATA'!$A$3:$A$34,"=576",'ANALITIKA EU PROJEKATA'!$Q$3:$Q$34,"=42")</f>
        <v>0</v>
      </c>
      <c r="S82" s="138">
        <f>SUMIFS('Plan rashoda za unos u SAP'!$J$3:$J$501,'Plan rashoda za unos u SAP'!$C$3:$C$501,"=581",'Plan rashoda za unos u SAP'!$N$3:$N$501,"=42")+SUMIFS('ANALITIKA EU PROJEKATA'!$H$3:$H$34,'ANALITIKA EU PROJEKATA'!$A$3:$A$34,"=581",'ANALITIKA EU PROJEKATA'!$Q$3:$Q$34,"=42")</f>
        <v>0</v>
      </c>
      <c r="T82" s="138">
        <f>SUMIFS('Plan rashoda za unos u SAP'!$J$3:$J$501,'Plan rashoda za unos u SAP'!$C$3:$C$501,"=61",'Plan rashoda za unos u SAP'!$N$3:$N$501,"=42")+SUMIFS('ANALITIKA EU PROJEKATA'!$H$3:$H$34,'ANALITIKA EU PROJEKATA'!$A$3:$A$34,"=61",'ANALITIKA EU PROJEKATA'!$Q$3:$Q$34,"=42")</f>
        <v>0</v>
      </c>
      <c r="U82" s="138">
        <f>SUMIFS('Plan rashoda za unos u SAP'!$J$3:$J$501,'Plan rashoda za unos u SAP'!$C$3:$C$501,"=63",'Plan rashoda za unos u SAP'!$N$3:$N$501,"=42")+SUMIFS('ANALITIKA EU PROJEKATA'!$H$3:$H$34,'ANALITIKA EU PROJEKATA'!$A$3:$A$34,"=63",'ANALITIKA EU PROJEKATA'!$Q$3:$Q$34,"=42")</f>
        <v>0</v>
      </c>
      <c r="V82" s="138">
        <f>SUMIFS('Plan rashoda za unos u SAP'!$J$3:$J$501,'Plan rashoda za unos u SAP'!$C$3:$C$501,"=71",'Plan rashoda za unos u SAP'!$N$3:$N$501,"=42")+SUMIFS('ANALITIKA EU PROJEKATA'!$H$3:$H$34,'ANALITIKA EU PROJEKATA'!$A$3:$A$34,"=71",'ANALITIKA EU PROJEKATA'!$Q$3:$Q$34,"=42")</f>
        <v>0</v>
      </c>
      <c r="W82" s="138">
        <f>SUMIFS('Plan rashoda za unos u SAP'!$J$3:$J$501,'Plan rashoda za unos u SAP'!$C$3:$C$501,"=81",'Plan rashoda za unos u SAP'!$N$3:$N$501,"=42")+SUMIFS('ANALITIKA EU PROJEKATA'!$H$3:$H$34,'ANALITIKA EU PROJEKATA'!$A$3:$A$34,"=81",'ANALITIKA EU PROJEKATA'!$Q$3:$Q$34,"=42")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PROJEKATA'!$H$3:$H$34,'ANALITIKA EU PROJEKATA'!$A$3:$A$34,"=11",'ANALITIKA EU PROJEKATA'!$Q$3:$Q$34,"=43")</f>
        <v>0</v>
      </c>
      <c r="F83" s="138">
        <f>SUMIFS('Plan rashoda za unos u SAP'!$J$3:$J$501,'Plan rashoda za unos u SAP'!$C$3:$C$501,"=12",'Plan rashoda za unos u SAP'!$N$3:$N$501,"=43")+SUMIFS('ANALITIKA EU PROJEKATA'!$H$3:$H$34,'ANALITIKA EU PROJEKATA'!$A$3:$A$34,"=12",'ANALITIKA EU PROJEKATA'!$Q$3:$Q$34,"=43")</f>
        <v>0</v>
      </c>
      <c r="G83" s="138">
        <f>SUMIFS('Plan rashoda za unos u SAP'!$J$3:$J$501,'Plan rashoda za unos u SAP'!$C$3:$C$501,"=31",'Plan rashoda za unos u SAP'!$N$3:$N$501,"=43")+SUMIFS('ANALITIKA EU PROJEKATA'!$H$3:$H$34,'ANALITIKA EU PROJEKATA'!$A$3:$A$34,"=31",'ANALITIKA EU PROJEKATA'!$Q$3:$Q$34,"=43")</f>
        <v>0</v>
      </c>
      <c r="H83" s="138">
        <f>SUMIFS('Plan rashoda za unos u SAP'!$J$3:$J$501,'Plan rashoda za unos u SAP'!$C$3:$C$501,"=41",'Plan rashoda za unos u SAP'!$N$3:$N$501,"=43")+SUMIFS('ANALITIKA EU PROJEKATA'!$H$3:$H$34,'ANALITIKA EU PROJEKATA'!$A$3:$A$34,"=41",'ANALITIKA EU PROJEKATA'!$Q$3:$Q$34,"=43")</f>
        <v>0</v>
      </c>
      <c r="I83" s="138">
        <f>SUMIFS('Plan rashoda za unos u SAP'!$J$3:$J$501,'Plan rashoda za unos u SAP'!$C$3:$C$501,"=43",'Plan rashoda za unos u SAP'!$N$3:$N$501,"=43")+SUMIFS('ANALITIKA EU PROJEKATA'!$H$3:$H$34,'ANALITIKA EU PROJEKATA'!$A$3:$A$34,"=43",'ANALITIKA EU PROJEKATA'!$Q$3:$Q$34,"=43")</f>
        <v>0</v>
      </c>
      <c r="J83" s="138">
        <f>SUMIFS('Plan rashoda za unos u SAP'!$J$3:$J$501,'Plan rashoda za unos u SAP'!$C$3:$C$501,"=51",'Plan rashoda za unos u SAP'!$N$3:$N$501,"=43")+SUMIFS('ANALITIKA EU PROJEKATA'!$H$3:$H$34,'ANALITIKA EU PROJEKATA'!$A$3:$A$34,"=51",'ANALITIKA EU PROJEKATA'!$Q$3:$Q$34,"=43")</f>
        <v>0</v>
      </c>
      <c r="K83" s="138">
        <f>SUMIFS('Plan rashoda za unos u SAP'!$J$3:$J$501,'Plan rashoda za unos u SAP'!$C$3:$C$501,"=52",'Plan rashoda za unos u SAP'!$N$3:$N$501,"=43")+SUMIFS('ANALITIKA EU PROJEKATA'!$H$3:$H$34,'ANALITIKA EU PROJEKATA'!$A$3:$A$34,"=52",'ANALITIKA EU PROJEKATA'!$Q$3:$Q$34,"=43")</f>
        <v>0</v>
      </c>
      <c r="L83" s="138">
        <f>SUMIFS('Plan rashoda za unos u SAP'!$J$3:$J$501,'Plan rashoda za unos u SAP'!$C$3:$C$501,"=552",'Plan rashoda za unos u SAP'!$N$3:$N$501,"=43")+SUMIFS('ANALITIKA EU PROJEKATA'!$H$3:$H$34,'ANALITIKA EU PROJEKATA'!$A$3:$A$34,"=552",'ANALITIKA EU PROJEKATA'!$Q$3:$Q$34,"=43")</f>
        <v>0</v>
      </c>
      <c r="M83" s="138">
        <f>SUMIFS('Plan rashoda za unos u SAP'!$J$3:$J$501,'Plan rashoda za unos u SAP'!$C$3:$C$501,"=559",'Plan rashoda za unos u SAP'!$N$3:$N$501,"=43")+SUMIFS('ANALITIKA EU PROJEKATA'!$H$3:$H$34,'ANALITIKA EU PROJEKATA'!$A$3:$A$34,"=559",'ANALITIKA EU PROJEKATA'!$Q$3:$Q$34,"=43")</f>
        <v>0</v>
      </c>
      <c r="N83" s="138">
        <f>SUMIFS('Plan rashoda za unos u SAP'!$J$3:$J$501,'Plan rashoda za unos u SAP'!$C$3:$C$501,"=561",'Plan rashoda za unos u SAP'!$N$3:$N$501,"=43")+SUMIFS('ANALITIKA EU PROJEKATA'!$H$3:$H$34,'ANALITIKA EU PROJEKATA'!$A$3:$A$34,"=561",'ANALITIKA EU PROJEKATA'!$Q$3:$Q$34,"=43")</f>
        <v>0</v>
      </c>
      <c r="O83" s="138">
        <f>SUMIFS('Plan rashoda za unos u SAP'!$J$3:$J$501,'Plan rashoda za unos u SAP'!$C$3:$C$501,"=563",'Plan rashoda za unos u SAP'!$N$3:$N$501,"=43")+SUMIFS('ANALITIKA EU PROJEKATA'!$H$3:$H$34,'ANALITIKA EU PROJEKATA'!$A$3:$A$34,"=563",'ANALITIKA EU PROJEKATA'!$Q$3:$Q$34,"=43")</f>
        <v>0</v>
      </c>
      <c r="P83" s="138">
        <f>SUMIFS('Plan rashoda za unos u SAP'!$J$3:$J$501,'Plan rashoda za unos u SAP'!$C$3:$C$501,"=573",'Plan rashoda za unos u SAP'!$N$3:$N$501,"=43")+SUMIFS('ANALITIKA EU PROJEKATA'!$H$3:$H$34,'ANALITIKA EU PROJEKATA'!$A$3:$A$34,"=573",'ANALITIKA EU PROJEKATA'!$Q$3:$Q$34,"=43")</f>
        <v>0</v>
      </c>
      <c r="Q83" s="138">
        <f>SUMIFS('Plan rashoda za unos u SAP'!$J$3:$J$501,'Plan rashoda za unos u SAP'!$C$3:$C$501,"=575",'Plan rashoda za unos u SAP'!$N$3:$N$501,"=43")+SUMIFS('ANALITIKA EU PROJEKATA'!$H$3:$H$34,'ANALITIKA EU PROJEKATA'!$A$3:$A$34,"=575",'ANALITIKA EU PROJEKATA'!$Q$3:$Q$34,"=43")</f>
        <v>0</v>
      </c>
      <c r="R83" s="138">
        <f>SUMIFS('Plan rashoda za unos u SAP'!$J$3:$J$501,'Plan rashoda za unos u SAP'!$C$3:$C$501,"=576",'Plan rashoda za unos u SAP'!$N$3:$N$501,"=43")+SUMIFS('ANALITIKA EU PROJEKATA'!$H$3:$H$34,'ANALITIKA EU PROJEKATA'!$A$3:$A$34,"=576",'ANALITIKA EU PROJEKATA'!$Q$3:$Q$34,"=43")</f>
        <v>0</v>
      </c>
      <c r="S83" s="138">
        <f>SUMIFS('Plan rashoda za unos u SAP'!$J$3:$J$501,'Plan rashoda za unos u SAP'!$C$3:$C$501,"=581",'Plan rashoda za unos u SAP'!$N$3:$N$501,"=43")+SUMIFS('ANALITIKA EU PROJEKATA'!$H$3:$H$34,'ANALITIKA EU PROJEKATA'!$A$3:$A$34,"=581",'ANALITIKA EU PROJEKATA'!$Q$3:$Q$34,"=43")</f>
        <v>0</v>
      </c>
      <c r="T83" s="138">
        <f>SUMIFS('Plan rashoda za unos u SAP'!$J$3:$J$501,'Plan rashoda za unos u SAP'!$C$3:$C$501,"=61",'Plan rashoda za unos u SAP'!$N$3:$N$501,"=43")+SUMIFS('ANALITIKA EU PROJEKATA'!$H$3:$H$34,'ANALITIKA EU PROJEKATA'!$A$3:$A$34,"=61",'ANALITIKA EU PROJEKATA'!$Q$3:$Q$34,"=43")</f>
        <v>0</v>
      </c>
      <c r="U83" s="138">
        <f>SUMIFS('Plan rashoda za unos u SAP'!$J$3:$J$501,'Plan rashoda za unos u SAP'!$C$3:$C$501,"=63",'Plan rashoda za unos u SAP'!$N$3:$N$501,"=43")+SUMIFS('ANALITIKA EU PROJEKATA'!$H$3:$H$34,'ANALITIKA EU PROJEKATA'!$A$3:$A$34,"=63",'ANALITIKA EU PROJEKATA'!$Q$3:$Q$34,"=43")</f>
        <v>0</v>
      </c>
      <c r="V83" s="138">
        <f>SUMIFS('Plan rashoda za unos u SAP'!$J$3:$J$501,'Plan rashoda za unos u SAP'!$C$3:$C$501,"=71",'Plan rashoda za unos u SAP'!$N$3:$N$501,"=43")+SUMIFS('ANALITIKA EU PROJEKATA'!$H$3:$H$34,'ANALITIKA EU PROJEKATA'!$A$3:$A$34,"=71",'ANALITIKA EU PROJEKATA'!$Q$3:$Q$34,"=43")</f>
        <v>0</v>
      </c>
      <c r="W83" s="138">
        <f>SUMIFS('Plan rashoda za unos u SAP'!$J$3:$J$501,'Plan rashoda za unos u SAP'!$C$3:$C$501,"=81",'Plan rashoda za unos u SAP'!$N$3:$N$501,"=43")+SUMIFS('ANALITIKA EU PROJEKATA'!$H$3:$H$34,'ANALITIKA EU PROJEKATA'!$A$3:$A$34,"=81",'ANALITIKA EU PROJEKATA'!$Q$3:$Q$34,"=43")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PROJEKATA'!$H$3:$H$34,'ANALITIKA EU PROJEKATA'!$A$3:$A$34,"=11",'ANALITIKA EU PROJEKATA'!$Q$3:$Q$34,"=44")</f>
        <v>0</v>
      </c>
      <c r="F84" s="138">
        <f>SUMIFS('Plan rashoda za unos u SAP'!$J$3:$J$501,'Plan rashoda za unos u SAP'!$C$3:$C$501,"=12",'Plan rashoda za unos u SAP'!$N$3:$N$501,"=44")+SUMIFS('ANALITIKA EU PROJEKATA'!$H$3:$H$34,'ANALITIKA EU PROJEKATA'!$A$3:$A$34,"=12",'ANALITIKA EU PROJEKATA'!$Q$3:$Q$34,"=44")</f>
        <v>0</v>
      </c>
      <c r="G84" s="138">
        <f>SUMIFS('Plan rashoda za unos u SAP'!$J$3:$J$501,'Plan rashoda za unos u SAP'!$C$3:$C$501,"=31",'Plan rashoda za unos u SAP'!$N$3:$N$501,"=44")+SUMIFS('ANALITIKA EU PROJEKATA'!$H$3:$H$34,'ANALITIKA EU PROJEKATA'!$A$3:$A$34,"=31",'ANALITIKA EU PROJEKATA'!$Q$3:$Q$34,"=44")</f>
        <v>0</v>
      </c>
      <c r="H84" s="138">
        <f>SUMIFS('Plan rashoda za unos u SAP'!$J$3:$J$501,'Plan rashoda za unos u SAP'!$C$3:$C$501,"=41",'Plan rashoda za unos u SAP'!$N$3:$N$501,"=44")+SUMIFS('ANALITIKA EU PROJEKATA'!$H$3:$H$34,'ANALITIKA EU PROJEKATA'!$A$3:$A$34,"=41",'ANALITIKA EU PROJEKATA'!$Q$3:$Q$34,"=44")</f>
        <v>0</v>
      </c>
      <c r="I84" s="138">
        <f>SUMIFS('Plan rashoda za unos u SAP'!$J$3:$J$501,'Plan rashoda za unos u SAP'!$C$3:$C$501,"=43",'Plan rashoda za unos u SAP'!$N$3:$N$501,"=44")+SUMIFS('ANALITIKA EU PROJEKATA'!$H$3:$H$34,'ANALITIKA EU PROJEKATA'!$A$3:$A$34,"=43",'ANALITIKA EU PROJEKATA'!$Q$3:$Q$34,"=44")</f>
        <v>0</v>
      </c>
      <c r="J84" s="138">
        <f>SUMIFS('Plan rashoda za unos u SAP'!$J$3:$J$501,'Plan rashoda za unos u SAP'!$C$3:$C$501,"=51",'Plan rashoda za unos u SAP'!$N$3:$N$501,"=44")+SUMIFS('ANALITIKA EU PROJEKATA'!$H$3:$H$34,'ANALITIKA EU PROJEKATA'!$A$3:$A$34,"=51",'ANALITIKA EU PROJEKATA'!$Q$3:$Q$34,"=44")</f>
        <v>0</v>
      </c>
      <c r="K84" s="138">
        <f>SUMIFS('Plan rashoda za unos u SAP'!$J$3:$J$501,'Plan rashoda za unos u SAP'!$C$3:$C$501,"=52",'Plan rashoda za unos u SAP'!$N$3:$N$501,"=44")+SUMIFS('ANALITIKA EU PROJEKATA'!$H$3:$H$34,'ANALITIKA EU PROJEKATA'!$A$3:$A$34,"=52",'ANALITIKA EU PROJEKATA'!$Q$3:$Q$34,"=44")</f>
        <v>0</v>
      </c>
      <c r="L84" s="138">
        <f>SUMIFS('Plan rashoda za unos u SAP'!$J$3:$J$501,'Plan rashoda za unos u SAP'!$C$3:$C$501,"=552",'Plan rashoda za unos u SAP'!$N$3:$N$501,"=44")+SUMIFS('ANALITIKA EU PROJEKATA'!$H$3:$H$34,'ANALITIKA EU PROJEKATA'!$A$3:$A$34,"=552",'ANALITIKA EU PROJEKATA'!$Q$3:$Q$34,"=44")</f>
        <v>0</v>
      </c>
      <c r="M84" s="138">
        <f>SUMIFS('Plan rashoda za unos u SAP'!$J$3:$J$501,'Plan rashoda za unos u SAP'!$C$3:$C$501,"=559",'Plan rashoda za unos u SAP'!$N$3:$N$501,"=44")+SUMIFS('ANALITIKA EU PROJEKATA'!$H$3:$H$34,'ANALITIKA EU PROJEKATA'!$A$3:$A$34,"=559",'ANALITIKA EU PROJEKATA'!$Q$3:$Q$34,"=44")</f>
        <v>0</v>
      </c>
      <c r="N84" s="138">
        <f>SUMIFS('Plan rashoda za unos u SAP'!$J$3:$J$501,'Plan rashoda za unos u SAP'!$C$3:$C$501,"=561",'Plan rashoda za unos u SAP'!$N$3:$N$501,"=44")+SUMIFS('ANALITIKA EU PROJEKATA'!$H$3:$H$34,'ANALITIKA EU PROJEKATA'!$A$3:$A$34,"=561",'ANALITIKA EU PROJEKATA'!$Q$3:$Q$34,"=44")</f>
        <v>0</v>
      </c>
      <c r="O84" s="138">
        <f>SUMIFS('Plan rashoda za unos u SAP'!$J$3:$J$501,'Plan rashoda za unos u SAP'!$C$3:$C$501,"=563",'Plan rashoda za unos u SAP'!$N$3:$N$501,"=44")+SUMIFS('ANALITIKA EU PROJEKATA'!$H$3:$H$34,'ANALITIKA EU PROJEKATA'!$A$3:$A$34,"=563",'ANALITIKA EU PROJEKATA'!$Q$3:$Q$34,"=44")</f>
        <v>0</v>
      </c>
      <c r="P84" s="138">
        <f>SUMIFS('Plan rashoda za unos u SAP'!$J$3:$J$501,'Plan rashoda za unos u SAP'!$C$3:$C$501,"=573",'Plan rashoda za unos u SAP'!$N$3:$N$501,"=44")+SUMIFS('ANALITIKA EU PROJEKATA'!$H$3:$H$34,'ANALITIKA EU PROJEKATA'!$A$3:$A$34,"=573",'ANALITIKA EU PROJEKATA'!$Q$3:$Q$34,"=44")</f>
        <v>0</v>
      </c>
      <c r="Q84" s="138">
        <f>SUMIFS('Plan rashoda za unos u SAP'!$J$3:$J$501,'Plan rashoda za unos u SAP'!$C$3:$C$501,"=575",'Plan rashoda za unos u SAP'!$N$3:$N$501,"=44")+SUMIFS('ANALITIKA EU PROJEKATA'!$H$3:$H$34,'ANALITIKA EU PROJEKATA'!$A$3:$A$34,"=575",'ANALITIKA EU PROJEKATA'!$Q$3:$Q$34,"=44")</f>
        <v>0</v>
      </c>
      <c r="R84" s="138">
        <f>SUMIFS('Plan rashoda za unos u SAP'!$J$3:$J$501,'Plan rashoda za unos u SAP'!$C$3:$C$501,"=576",'Plan rashoda za unos u SAP'!$N$3:$N$501,"=44")+SUMIFS('ANALITIKA EU PROJEKATA'!$H$3:$H$34,'ANALITIKA EU PROJEKATA'!$A$3:$A$34,"=576",'ANALITIKA EU PROJEKATA'!$Q$3:$Q$34,"=44")</f>
        <v>0</v>
      </c>
      <c r="S84" s="138">
        <f>SUMIFS('Plan rashoda za unos u SAP'!$J$3:$J$501,'Plan rashoda za unos u SAP'!$C$3:$C$501,"=581",'Plan rashoda za unos u SAP'!$N$3:$N$501,"=44")+SUMIFS('ANALITIKA EU PROJEKATA'!$H$3:$H$34,'ANALITIKA EU PROJEKATA'!$A$3:$A$34,"=581",'ANALITIKA EU PROJEKATA'!$Q$3:$Q$34,"=44")</f>
        <v>0</v>
      </c>
      <c r="T84" s="138">
        <f>SUMIFS('Plan rashoda za unos u SAP'!$J$3:$J$501,'Plan rashoda za unos u SAP'!$C$3:$C$501,"=61",'Plan rashoda za unos u SAP'!$N$3:$N$501,"=44")+SUMIFS('ANALITIKA EU PROJEKATA'!$H$3:$H$34,'ANALITIKA EU PROJEKATA'!$A$3:$A$34,"=61",'ANALITIKA EU PROJEKATA'!$Q$3:$Q$34,"=44")</f>
        <v>0</v>
      </c>
      <c r="U84" s="138">
        <f>SUMIFS('Plan rashoda za unos u SAP'!$J$3:$J$501,'Plan rashoda za unos u SAP'!$C$3:$C$501,"=63",'Plan rashoda za unos u SAP'!$N$3:$N$501,"=44")+SUMIFS('ANALITIKA EU PROJEKATA'!$H$3:$H$34,'ANALITIKA EU PROJEKATA'!$A$3:$A$34,"=63",'ANALITIKA EU PROJEKATA'!$Q$3:$Q$34,"=44")</f>
        <v>0</v>
      </c>
      <c r="V84" s="138">
        <f>SUMIFS('Plan rashoda za unos u SAP'!$J$3:$J$501,'Plan rashoda za unos u SAP'!$C$3:$C$501,"=71",'Plan rashoda za unos u SAP'!$N$3:$N$501,"=44")+SUMIFS('ANALITIKA EU PROJEKATA'!$H$3:$H$34,'ANALITIKA EU PROJEKATA'!$A$3:$A$34,"=71",'ANALITIKA EU PROJEKATA'!$Q$3:$Q$34,"=44")</f>
        <v>0</v>
      </c>
      <c r="W84" s="138">
        <f>SUMIFS('Plan rashoda za unos u SAP'!$J$3:$J$501,'Plan rashoda za unos u SAP'!$C$3:$C$501,"=81",'Plan rashoda za unos u SAP'!$N$3:$N$501,"=44")+SUMIFS('ANALITIKA EU PROJEKATA'!$H$3:$H$34,'ANALITIKA EU PROJEKATA'!$A$3:$A$34,"=81",'ANALITIKA EU PROJEKATA'!$Q$3:$Q$34,"=44")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PROJEKATA'!$H$3:$H$34,'ANALITIKA EU PROJEKATA'!$A$3:$A$34,"=11",'ANALITIKA EU PROJEKATA'!$Q$3:$Q$34,"=45")</f>
        <v>0</v>
      </c>
      <c r="F85" s="138">
        <f>SUMIFS('Plan rashoda za unos u SAP'!$J$3:$J$501,'Plan rashoda za unos u SAP'!$C$3:$C$501,"=12",'Plan rashoda za unos u SAP'!$N$3:$N$501,"=45")+SUMIFS('ANALITIKA EU PROJEKATA'!$H$3:$H$34,'ANALITIKA EU PROJEKATA'!$A$3:$A$34,"=12",'ANALITIKA EU PROJEKATA'!$Q$3:$Q$34,"=45")</f>
        <v>0</v>
      </c>
      <c r="G85" s="138">
        <f>SUMIFS('Plan rashoda za unos u SAP'!$J$3:$J$501,'Plan rashoda za unos u SAP'!$C$3:$C$501,"=31",'Plan rashoda za unos u SAP'!$N$3:$N$501,"=45")+SUMIFS('ANALITIKA EU PROJEKATA'!$H$3:$H$34,'ANALITIKA EU PROJEKATA'!$A$3:$A$34,"=31",'ANALITIKA EU PROJEKATA'!$Q$3:$Q$34,"=45")</f>
        <v>0</v>
      </c>
      <c r="H85" s="138">
        <f>SUMIFS('Plan rashoda za unos u SAP'!$J$3:$J$501,'Plan rashoda za unos u SAP'!$C$3:$C$501,"=41",'Plan rashoda za unos u SAP'!$N$3:$N$501,"=45")+SUMIFS('ANALITIKA EU PROJEKATA'!$H$3:$H$34,'ANALITIKA EU PROJEKATA'!$A$3:$A$34,"=41",'ANALITIKA EU PROJEKATA'!$Q$3:$Q$34,"=45")</f>
        <v>0</v>
      </c>
      <c r="I85" s="138">
        <f>SUMIFS('Plan rashoda za unos u SAP'!$J$3:$J$501,'Plan rashoda za unos u SAP'!$C$3:$C$501,"=43",'Plan rashoda za unos u SAP'!$N$3:$N$501,"=45")+SUMIFS('ANALITIKA EU PROJEKATA'!$H$3:$H$34,'ANALITIKA EU PROJEKATA'!$A$3:$A$34,"=43",'ANALITIKA EU PROJEKATA'!$Q$3:$Q$34,"=45")</f>
        <v>0</v>
      </c>
      <c r="J85" s="138">
        <f>SUMIFS('Plan rashoda za unos u SAP'!$J$3:$J$501,'Plan rashoda za unos u SAP'!$C$3:$C$501,"=51",'Plan rashoda za unos u SAP'!$N$3:$N$501,"=45")+SUMIFS('ANALITIKA EU PROJEKATA'!$H$3:$H$34,'ANALITIKA EU PROJEKATA'!$A$3:$A$34,"=51",'ANALITIKA EU PROJEKATA'!$Q$3:$Q$34,"=45")</f>
        <v>0</v>
      </c>
      <c r="K85" s="138">
        <f>SUMIFS('Plan rashoda za unos u SAP'!$J$3:$J$501,'Plan rashoda za unos u SAP'!$C$3:$C$501,"=52",'Plan rashoda za unos u SAP'!$N$3:$N$501,"=45")+SUMIFS('ANALITIKA EU PROJEKATA'!$H$3:$H$34,'ANALITIKA EU PROJEKATA'!$A$3:$A$34,"=52",'ANALITIKA EU PROJEKATA'!$Q$3:$Q$34,"=45")</f>
        <v>0</v>
      </c>
      <c r="L85" s="138">
        <f>SUMIFS('Plan rashoda za unos u SAP'!$J$3:$J$501,'Plan rashoda za unos u SAP'!$C$3:$C$501,"=552",'Plan rashoda za unos u SAP'!$N$3:$N$501,"=45")+SUMIFS('ANALITIKA EU PROJEKATA'!$H$3:$H$34,'ANALITIKA EU PROJEKATA'!$A$3:$A$34,"=552",'ANALITIKA EU PROJEKATA'!$Q$3:$Q$34,"=45")</f>
        <v>0</v>
      </c>
      <c r="M85" s="138">
        <f>SUMIFS('Plan rashoda za unos u SAP'!$J$3:$J$501,'Plan rashoda za unos u SAP'!$C$3:$C$501,"=559",'Plan rashoda za unos u SAP'!$N$3:$N$501,"=45")+SUMIFS('ANALITIKA EU PROJEKATA'!$H$3:$H$34,'ANALITIKA EU PROJEKATA'!$A$3:$A$34,"=559",'ANALITIKA EU PROJEKATA'!$Q$3:$Q$34,"=45")</f>
        <v>0</v>
      </c>
      <c r="N85" s="138">
        <f>SUMIFS('Plan rashoda za unos u SAP'!$J$3:$J$501,'Plan rashoda za unos u SAP'!$C$3:$C$501,"=561",'Plan rashoda za unos u SAP'!$N$3:$N$501,"=45")+SUMIFS('ANALITIKA EU PROJEKATA'!$H$3:$H$34,'ANALITIKA EU PROJEKATA'!$A$3:$A$34,"=561",'ANALITIKA EU PROJEKATA'!$Q$3:$Q$34,"=45")</f>
        <v>0</v>
      </c>
      <c r="O85" s="138">
        <f>SUMIFS('Plan rashoda za unos u SAP'!$J$3:$J$501,'Plan rashoda za unos u SAP'!$C$3:$C$501,"=563",'Plan rashoda za unos u SAP'!$N$3:$N$501,"=45")+SUMIFS('ANALITIKA EU PROJEKATA'!$H$3:$H$34,'ANALITIKA EU PROJEKATA'!$A$3:$A$34,"=563",'ANALITIKA EU PROJEKATA'!$Q$3:$Q$34,"=45")</f>
        <v>0</v>
      </c>
      <c r="P85" s="138">
        <f>SUMIFS('Plan rashoda za unos u SAP'!$J$3:$J$501,'Plan rashoda za unos u SAP'!$C$3:$C$501,"=573",'Plan rashoda za unos u SAP'!$N$3:$N$501,"=45")+SUMIFS('ANALITIKA EU PROJEKATA'!$H$3:$H$34,'ANALITIKA EU PROJEKATA'!$A$3:$A$34,"=573",'ANALITIKA EU PROJEKATA'!$Q$3:$Q$34,"=45")</f>
        <v>0</v>
      </c>
      <c r="Q85" s="138">
        <f>SUMIFS('Plan rashoda za unos u SAP'!$J$3:$J$501,'Plan rashoda za unos u SAP'!$C$3:$C$501,"=575",'Plan rashoda za unos u SAP'!$N$3:$N$501,"=45")+SUMIFS('ANALITIKA EU PROJEKATA'!$H$3:$H$34,'ANALITIKA EU PROJEKATA'!$A$3:$A$34,"=575",'ANALITIKA EU PROJEKATA'!$Q$3:$Q$34,"=45")</f>
        <v>0</v>
      </c>
      <c r="R85" s="138">
        <f>SUMIFS('Plan rashoda za unos u SAP'!$J$3:$J$501,'Plan rashoda za unos u SAP'!$C$3:$C$501,"=576",'Plan rashoda za unos u SAP'!$N$3:$N$501,"=45")+SUMIFS('ANALITIKA EU PROJEKATA'!$H$3:$H$34,'ANALITIKA EU PROJEKATA'!$A$3:$A$34,"=576",'ANALITIKA EU PROJEKATA'!$Q$3:$Q$34,"=45")</f>
        <v>0</v>
      </c>
      <c r="S85" s="138">
        <f>SUMIFS('Plan rashoda za unos u SAP'!$J$3:$J$501,'Plan rashoda za unos u SAP'!$C$3:$C$501,"=581",'Plan rashoda za unos u SAP'!$N$3:$N$501,"=45")+SUMIFS('ANALITIKA EU PROJEKATA'!$H$3:$H$34,'ANALITIKA EU PROJEKATA'!$A$3:$A$34,"=581",'ANALITIKA EU PROJEKATA'!$Q$3:$Q$34,"=45")</f>
        <v>0</v>
      </c>
      <c r="T85" s="138">
        <f>SUMIFS('Plan rashoda za unos u SAP'!$J$3:$J$501,'Plan rashoda za unos u SAP'!$C$3:$C$501,"=61",'Plan rashoda za unos u SAP'!$N$3:$N$501,"=45")+SUMIFS('ANALITIKA EU PROJEKATA'!$H$3:$H$34,'ANALITIKA EU PROJEKATA'!$A$3:$A$34,"=61",'ANALITIKA EU PROJEKATA'!$Q$3:$Q$34,"=45")</f>
        <v>0</v>
      </c>
      <c r="U85" s="138">
        <f>SUMIFS('Plan rashoda za unos u SAP'!$J$3:$J$501,'Plan rashoda za unos u SAP'!$C$3:$C$501,"=63",'Plan rashoda za unos u SAP'!$N$3:$N$501,"=45")+SUMIFS('ANALITIKA EU PROJEKATA'!$H$3:$H$34,'ANALITIKA EU PROJEKATA'!$A$3:$A$34,"=63",'ANALITIKA EU PROJEKATA'!$Q$3:$Q$34,"=45")</f>
        <v>0</v>
      </c>
      <c r="V85" s="138">
        <f>SUMIFS('Plan rashoda za unos u SAP'!$J$3:$J$501,'Plan rashoda za unos u SAP'!$C$3:$C$501,"=71",'Plan rashoda za unos u SAP'!$N$3:$N$501,"=45")+SUMIFS('ANALITIKA EU PROJEKATA'!$H$3:$H$34,'ANALITIKA EU PROJEKATA'!$A$3:$A$34,"=71",'ANALITIKA EU PROJEKATA'!$Q$3:$Q$34,"=45")</f>
        <v>0</v>
      </c>
      <c r="W85" s="138">
        <f>SUMIFS('Plan rashoda za unos u SAP'!$J$3:$J$501,'Plan rashoda za unos u SAP'!$C$3:$C$501,"=81",'Plan rashoda za unos u SAP'!$N$3:$N$501,"=45")+SUMIFS('ANALITIKA EU PROJEKATA'!$H$3:$H$34,'ANALITIKA EU PROJEKATA'!$A$3:$A$34,"=81",'ANALITIKA EU PROJEKATA'!$Q$3:$Q$34,"=45")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PROJEKATA'!$H$3:$H$34,'ANALITIKA EU PROJEKATA'!$A$3:$A$34,"=11",'ANALITIKA EU PROJEKATA'!$Q$3:$Q$34,"=51")</f>
        <v>0</v>
      </c>
      <c r="F87" s="138">
        <f>SUMIFS('Plan rashoda za unos u SAP'!$J$3:$J$501,'Plan rashoda za unos u SAP'!$C$3:$C$501,"=12",'Plan rashoda za unos u SAP'!$N$3:$N$501,"=51")+SUMIFS('ANALITIKA EU PROJEKATA'!$H$3:$H$34,'ANALITIKA EU PROJEKATA'!$A$3:$A$34,"=12",'ANALITIKA EU PROJEKATA'!$Q$3:$Q$34,"=51")</f>
        <v>0</v>
      </c>
      <c r="G87" s="138">
        <f>SUMIFS('Plan rashoda za unos u SAP'!$J$3:$J$501,'Plan rashoda za unos u SAP'!$C$3:$C$501,"=31",'Plan rashoda za unos u SAP'!$N$3:$N$501,"=51")+SUMIFS('ANALITIKA EU PROJEKATA'!$H$3:$H$34,'ANALITIKA EU PROJEKATA'!$A$3:$A$34,"=31",'ANALITIKA EU PROJEKATA'!$Q$3:$Q$34,"=51")</f>
        <v>0</v>
      </c>
      <c r="H87" s="138">
        <f>SUMIFS('Plan rashoda za unos u SAP'!$J$3:$J$501,'Plan rashoda za unos u SAP'!$C$3:$C$501,"=41",'Plan rashoda za unos u SAP'!$N$3:$N$501,"=51")+SUMIFS('ANALITIKA EU PROJEKATA'!$H$3:$H$34,'ANALITIKA EU PROJEKATA'!$A$3:$A$34,"=41",'ANALITIKA EU PROJEKATA'!$Q$3:$Q$34,"=51")</f>
        <v>0</v>
      </c>
      <c r="I87" s="138">
        <f>SUMIFS('Plan rashoda za unos u SAP'!$J$3:$J$501,'Plan rashoda za unos u SAP'!$C$3:$C$501,"=43",'Plan rashoda za unos u SAP'!$N$3:$N$501,"=51")+SUMIFS('ANALITIKA EU PROJEKATA'!$H$3:$H$34,'ANALITIKA EU PROJEKATA'!$A$3:$A$34,"=43",'ANALITIKA EU PROJEKATA'!$Q$3:$Q$34,"=51")</f>
        <v>0</v>
      </c>
      <c r="J87" s="138">
        <f>SUMIFS('Plan rashoda za unos u SAP'!$J$3:$J$501,'Plan rashoda za unos u SAP'!$C$3:$C$501,"=51",'Plan rashoda za unos u SAP'!$N$3:$N$501,"=51")+SUMIFS('ANALITIKA EU PROJEKATA'!$H$3:$H$34,'ANALITIKA EU PROJEKATA'!$A$3:$A$34,"=51",'ANALITIKA EU PROJEKATA'!$Q$3:$Q$34,"=51")</f>
        <v>0</v>
      </c>
      <c r="K87" s="138">
        <f>SUMIFS('Plan rashoda za unos u SAP'!$J$3:$J$501,'Plan rashoda za unos u SAP'!$C$3:$C$501,"=52",'Plan rashoda za unos u SAP'!$N$3:$N$501,"=51")+SUMIFS('ANALITIKA EU PROJEKATA'!$H$3:$H$34,'ANALITIKA EU PROJEKATA'!$A$3:$A$34,"=52",'ANALITIKA EU PROJEKATA'!$Q$3:$Q$34,"=51")</f>
        <v>0</v>
      </c>
      <c r="L87" s="138">
        <f>SUMIFS('Plan rashoda za unos u SAP'!$J$3:$J$501,'Plan rashoda za unos u SAP'!$C$3:$C$501,"=552",'Plan rashoda za unos u SAP'!$N$3:$N$501,"=51")+SUMIFS('ANALITIKA EU PROJEKATA'!$H$3:$H$34,'ANALITIKA EU PROJEKATA'!$A$3:$A$34,"=552",'ANALITIKA EU PROJEKATA'!$Q$3:$Q$34,"=51")</f>
        <v>0</v>
      </c>
      <c r="M87" s="138">
        <f>SUMIFS('Plan rashoda za unos u SAP'!$J$3:$J$501,'Plan rashoda za unos u SAP'!$C$3:$C$501,"=559",'Plan rashoda za unos u SAP'!$N$3:$N$501,"=51")+SUMIFS('ANALITIKA EU PROJEKATA'!$H$3:$H$34,'ANALITIKA EU PROJEKATA'!$A$3:$A$34,"=559",'ANALITIKA EU PROJEKATA'!$Q$3:$Q$34,"=51")</f>
        <v>0</v>
      </c>
      <c r="N87" s="138">
        <f>SUMIFS('Plan rashoda za unos u SAP'!$J$3:$J$501,'Plan rashoda za unos u SAP'!$C$3:$C$501,"=561",'Plan rashoda za unos u SAP'!$N$3:$N$501,"=51")+SUMIFS('ANALITIKA EU PROJEKATA'!$H$3:$H$34,'ANALITIKA EU PROJEKATA'!$A$3:$A$34,"=561",'ANALITIKA EU PROJEKATA'!$Q$3:$Q$34,"=51")</f>
        <v>0</v>
      </c>
      <c r="O87" s="138">
        <f>SUMIFS('Plan rashoda za unos u SAP'!$J$3:$J$501,'Plan rashoda za unos u SAP'!$C$3:$C$501,"=563",'Plan rashoda za unos u SAP'!$N$3:$N$501,"=51")+SUMIFS('ANALITIKA EU PROJEKATA'!$H$3:$H$34,'ANALITIKA EU PROJEKATA'!$A$3:$A$34,"=563",'ANALITIKA EU PROJEKATA'!$Q$3:$Q$34,"=51")</f>
        <v>0</v>
      </c>
      <c r="P87" s="138">
        <f>SUMIFS('Plan rashoda za unos u SAP'!$J$3:$J$501,'Plan rashoda za unos u SAP'!$C$3:$C$501,"=573",'Plan rashoda za unos u SAP'!$N$3:$N$501,"=51")+SUMIFS('ANALITIKA EU PROJEKATA'!$H$3:$H$34,'ANALITIKA EU PROJEKATA'!$A$3:$A$34,"=573",'ANALITIKA EU PROJEKATA'!$Q$3:$Q$34,"=51")</f>
        <v>0</v>
      </c>
      <c r="Q87" s="138">
        <f>SUMIFS('Plan rashoda za unos u SAP'!$J$3:$J$501,'Plan rashoda za unos u SAP'!$C$3:$C$501,"=575",'Plan rashoda za unos u SAP'!$N$3:$N$501,"=51")+SUMIFS('ANALITIKA EU PROJEKATA'!$H$3:$H$34,'ANALITIKA EU PROJEKATA'!$A$3:$A$34,"=575",'ANALITIKA EU PROJEKATA'!$Q$3:$Q$34,"=51")</f>
        <v>0</v>
      </c>
      <c r="R87" s="138">
        <f>SUMIFS('Plan rashoda za unos u SAP'!$J$3:$J$501,'Plan rashoda za unos u SAP'!$C$3:$C$501,"=576",'Plan rashoda za unos u SAP'!$N$3:$N$501,"=51")+SUMIFS('ANALITIKA EU PROJEKATA'!$H$3:$H$34,'ANALITIKA EU PROJEKATA'!$A$3:$A$34,"=576",'ANALITIKA EU PROJEKATA'!$Q$3:$Q$34,"=51")</f>
        <v>0</v>
      </c>
      <c r="S87" s="138">
        <f>SUMIFS('Plan rashoda za unos u SAP'!$J$3:$J$501,'Plan rashoda za unos u SAP'!$C$3:$C$501,"=581",'Plan rashoda za unos u SAP'!$N$3:$N$501,"=51")+SUMIFS('ANALITIKA EU PROJEKATA'!$H$3:$H$34,'ANALITIKA EU PROJEKATA'!$A$3:$A$34,"=581",'ANALITIKA EU PROJEKATA'!$Q$3:$Q$34,"=51")</f>
        <v>0</v>
      </c>
      <c r="T87" s="138">
        <f>SUMIFS('Plan rashoda za unos u SAP'!$J$3:$J$501,'Plan rashoda za unos u SAP'!$C$3:$C$501,"=61",'Plan rashoda za unos u SAP'!$N$3:$N$501,"=51")+SUMIFS('ANALITIKA EU PROJEKATA'!$H$3:$H$34,'ANALITIKA EU PROJEKATA'!$A$3:$A$34,"=61",'ANALITIKA EU PROJEKATA'!$Q$3:$Q$34,"=51")</f>
        <v>0</v>
      </c>
      <c r="U87" s="138">
        <f>SUMIFS('Plan rashoda za unos u SAP'!$J$3:$J$501,'Plan rashoda za unos u SAP'!$C$3:$C$501,"=63",'Plan rashoda za unos u SAP'!$N$3:$N$501,"=51")+SUMIFS('ANALITIKA EU PROJEKATA'!$H$3:$H$34,'ANALITIKA EU PROJEKATA'!$A$3:$A$34,"=63",'ANALITIKA EU PROJEKATA'!$Q$3:$Q$34,"=51")</f>
        <v>0</v>
      </c>
      <c r="V87" s="138">
        <f>SUMIFS('Plan rashoda za unos u SAP'!$J$3:$J$501,'Plan rashoda za unos u SAP'!$C$3:$C$501,"=71",'Plan rashoda za unos u SAP'!$N$3:$N$501,"=51")+SUMIFS('ANALITIKA EU PROJEKATA'!$H$3:$H$34,'ANALITIKA EU PROJEKATA'!$A$3:$A$34,"=71",'ANALITIKA EU PROJEKATA'!$Q$3:$Q$34,"=51")</f>
        <v>0</v>
      </c>
      <c r="W87" s="138">
        <f>SUMIFS('Plan rashoda za unos u SAP'!$J$3:$J$501,'Plan rashoda za unos u SAP'!$C$3:$C$501,"=81",'Plan rashoda za unos u SAP'!$N$3:$N$501,"=51")+SUMIFS('ANALITIKA EU PROJEKATA'!$H$3:$H$34,'ANALITIKA EU PROJEKATA'!$A$3:$A$34,"=81",'ANALITIKA EU PROJEKATA'!$Q$3:$Q$34,"=51")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PROJEKATA'!$H$3:$H$34,'ANALITIKA EU PROJEKATA'!$A$3:$A$34,"=11",'ANALITIKA EU PROJEKATA'!$Q$3:$Q$34,"=54")</f>
        <v>0</v>
      </c>
      <c r="F88" s="138">
        <f>SUMIFS('Plan rashoda za unos u SAP'!$J$3:$J$501,'Plan rashoda za unos u SAP'!$C$3:$C$501,"=12",'Plan rashoda za unos u SAP'!$N$3:$N$501,"=54")+SUMIFS('ANALITIKA EU PROJEKATA'!$H$3:$H$34,'ANALITIKA EU PROJEKATA'!$A$3:$A$34,"=12",'ANALITIKA EU PROJEKATA'!$Q$3:$Q$34,"=54")</f>
        <v>0</v>
      </c>
      <c r="G88" s="138">
        <f>SUMIFS('Plan rashoda za unos u SAP'!$J$3:$J$501,'Plan rashoda za unos u SAP'!$C$3:$C$501,"=31",'Plan rashoda za unos u SAP'!$N$3:$N$501,"=54")+SUMIFS('ANALITIKA EU PROJEKATA'!$H$3:$H$34,'ANALITIKA EU PROJEKATA'!$A$3:$A$34,"=31",'ANALITIKA EU PROJEKATA'!$Q$3:$Q$34,"=54")</f>
        <v>0</v>
      </c>
      <c r="H88" s="138">
        <f>SUMIFS('Plan rashoda za unos u SAP'!$J$3:$J$501,'Plan rashoda za unos u SAP'!$C$3:$C$501,"=41",'Plan rashoda za unos u SAP'!$N$3:$N$501,"=54")+SUMIFS('ANALITIKA EU PROJEKATA'!$H$3:$H$34,'ANALITIKA EU PROJEKATA'!$A$3:$A$34,"=41",'ANALITIKA EU PROJEKATA'!$Q$3:$Q$34,"=54")</f>
        <v>0</v>
      </c>
      <c r="I88" s="138">
        <f>SUMIFS('Plan rashoda za unos u SAP'!$J$3:$J$501,'Plan rashoda za unos u SAP'!$C$3:$C$501,"=43",'Plan rashoda za unos u SAP'!$N$3:$N$501,"=54")+SUMIFS('ANALITIKA EU PROJEKATA'!$H$3:$H$34,'ANALITIKA EU PROJEKATA'!$A$3:$A$34,"=43",'ANALITIKA EU PROJEKATA'!$Q$3:$Q$34,"=54")</f>
        <v>0</v>
      </c>
      <c r="J88" s="138">
        <f>SUMIFS('Plan rashoda za unos u SAP'!$J$3:$J$501,'Plan rashoda za unos u SAP'!$C$3:$C$501,"=51",'Plan rashoda za unos u SAP'!$N$3:$N$501,"=54")+SUMIFS('ANALITIKA EU PROJEKATA'!$H$3:$H$34,'ANALITIKA EU PROJEKATA'!$A$3:$A$34,"=51",'ANALITIKA EU PROJEKATA'!$Q$3:$Q$34,"=54")</f>
        <v>0</v>
      </c>
      <c r="K88" s="138">
        <f>SUMIFS('Plan rashoda za unos u SAP'!$J$3:$J$501,'Plan rashoda za unos u SAP'!$C$3:$C$501,"=52",'Plan rashoda za unos u SAP'!$N$3:$N$501,"=54")+SUMIFS('ANALITIKA EU PROJEKATA'!$H$3:$H$34,'ANALITIKA EU PROJEKATA'!$A$3:$A$34,"=52",'ANALITIKA EU PROJEKATA'!$Q$3:$Q$34,"=54")</f>
        <v>0</v>
      </c>
      <c r="L88" s="138">
        <f>SUMIFS('Plan rashoda za unos u SAP'!$J$3:$J$501,'Plan rashoda za unos u SAP'!$C$3:$C$501,"=552",'Plan rashoda za unos u SAP'!$N$3:$N$501,"=54")+SUMIFS('ANALITIKA EU PROJEKATA'!$H$3:$H$34,'ANALITIKA EU PROJEKATA'!$A$3:$A$34,"=552",'ANALITIKA EU PROJEKATA'!$Q$3:$Q$34,"=54")</f>
        <v>0</v>
      </c>
      <c r="M88" s="138">
        <f>SUMIFS('Plan rashoda za unos u SAP'!$J$3:$J$501,'Plan rashoda za unos u SAP'!$C$3:$C$501,"=559",'Plan rashoda za unos u SAP'!$N$3:$N$501,"=54")+SUMIFS('ANALITIKA EU PROJEKATA'!$H$3:$H$34,'ANALITIKA EU PROJEKATA'!$A$3:$A$34,"=559",'ANALITIKA EU PROJEKATA'!$Q$3:$Q$34,"=54")</f>
        <v>0</v>
      </c>
      <c r="N88" s="138">
        <f>SUMIFS('Plan rashoda za unos u SAP'!$J$3:$J$501,'Plan rashoda za unos u SAP'!$C$3:$C$501,"=561",'Plan rashoda za unos u SAP'!$N$3:$N$501,"=54")+SUMIFS('ANALITIKA EU PROJEKATA'!$H$3:$H$34,'ANALITIKA EU PROJEKATA'!$A$3:$A$34,"=561",'ANALITIKA EU PROJEKATA'!$Q$3:$Q$34,"=54")</f>
        <v>0</v>
      </c>
      <c r="O88" s="138">
        <f>SUMIFS('Plan rashoda za unos u SAP'!$J$3:$J$501,'Plan rashoda za unos u SAP'!$C$3:$C$501,"=563",'Plan rashoda za unos u SAP'!$N$3:$N$501,"=54")+SUMIFS('ANALITIKA EU PROJEKATA'!$H$3:$H$34,'ANALITIKA EU PROJEKATA'!$A$3:$A$34,"=563",'ANALITIKA EU PROJEKATA'!$Q$3:$Q$34,"=54")</f>
        <v>0</v>
      </c>
      <c r="P88" s="138">
        <f>SUMIFS('Plan rashoda za unos u SAP'!$J$3:$J$501,'Plan rashoda za unos u SAP'!$C$3:$C$501,"=573",'Plan rashoda za unos u SAP'!$N$3:$N$501,"=54")+SUMIFS('ANALITIKA EU PROJEKATA'!$H$3:$H$34,'ANALITIKA EU PROJEKATA'!$A$3:$A$34,"=573",'ANALITIKA EU PROJEKATA'!$Q$3:$Q$34,"=54")</f>
        <v>0</v>
      </c>
      <c r="Q88" s="138">
        <f>SUMIFS('Plan rashoda za unos u SAP'!$J$3:$J$501,'Plan rashoda za unos u SAP'!$C$3:$C$501,"=575",'Plan rashoda za unos u SAP'!$N$3:$N$501,"=54")+SUMIFS('ANALITIKA EU PROJEKATA'!$H$3:$H$34,'ANALITIKA EU PROJEKATA'!$A$3:$A$34,"=575",'ANALITIKA EU PROJEKATA'!$Q$3:$Q$34,"=54")</f>
        <v>0</v>
      </c>
      <c r="R88" s="138">
        <f>SUMIFS('Plan rashoda za unos u SAP'!$J$3:$J$501,'Plan rashoda za unos u SAP'!$C$3:$C$501,"=576",'Plan rashoda za unos u SAP'!$N$3:$N$501,"=54")+SUMIFS('ANALITIKA EU PROJEKATA'!$H$3:$H$34,'ANALITIKA EU PROJEKATA'!$A$3:$A$34,"=576",'ANALITIKA EU PROJEKATA'!$Q$3:$Q$34,"=54")</f>
        <v>0</v>
      </c>
      <c r="S88" s="138">
        <f>SUMIFS('Plan rashoda za unos u SAP'!$J$3:$J$501,'Plan rashoda za unos u SAP'!$C$3:$C$501,"=581",'Plan rashoda za unos u SAP'!$N$3:$N$501,"=54")+SUMIFS('ANALITIKA EU PROJEKATA'!$H$3:$H$34,'ANALITIKA EU PROJEKATA'!$A$3:$A$34,"=581",'ANALITIKA EU PROJEKATA'!$Q$3:$Q$34,"=54")</f>
        <v>0</v>
      </c>
      <c r="T88" s="138">
        <f>SUMIFS('Plan rashoda za unos u SAP'!$J$3:$J$501,'Plan rashoda za unos u SAP'!$C$3:$C$501,"=61",'Plan rashoda za unos u SAP'!$N$3:$N$501,"=54")+SUMIFS('ANALITIKA EU PROJEKATA'!$H$3:$H$34,'ANALITIKA EU PROJEKATA'!$A$3:$A$34,"=61",'ANALITIKA EU PROJEKATA'!$Q$3:$Q$34,"=54")</f>
        <v>0</v>
      </c>
      <c r="U88" s="138">
        <f>SUMIFS('Plan rashoda za unos u SAP'!$J$3:$J$501,'Plan rashoda za unos u SAP'!$C$3:$C$501,"=63",'Plan rashoda za unos u SAP'!$N$3:$N$501,"=54")+SUMIFS('ANALITIKA EU PROJEKATA'!$H$3:$H$34,'ANALITIKA EU PROJEKATA'!$A$3:$A$34,"=63",'ANALITIKA EU PROJEKATA'!$Q$3:$Q$34,"=54")</f>
        <v>0</v>
      </c>
      <c r="V88" s="138">
        <f>SUMIFS('Plan rashoda za unos u SAP'!$J$3:$J$501,'Plan rashoda za unos u SAP'!$C$3:$C$501,"=71",'Plan rashoda za unos u SAP'!$N$3:$N$501,"=54")+SUMIFS('ANALITIKA EU PROJEKATA'!$H$3:$H$34,'ANALITIKA EU PROJEKATA'!$A$3:$A$34,"=71",'ANALITIKA EU PROJEKATA'!$Q$3:$Q$34,"=54")</f>
        <v>0</v>
      </c>
      <c r="W88" s="138">
        <f>SUMIFS('Plan rashoda za unos u SAP'!$J$3:$J$501,'Plan rashoda za unos u SAP'!$C$3:$C$501,"=81",'Plan rashoda za unos u SAP'!$N$3:$N$501,"=54")+SUMIFS('ANALITIKA EU PROJEKATA'!$H$3:$H$34,'ANALITIKA EU PROJEKATA'!$A$3:$A$34,"=81",'ANALITIKA EU PROJEKATA'!$Q$3:$Q$34,"=54")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10853187</v>
      </c>
      <c r="E91" s="121">
        <f t="shared" ref="E91:W91" si="28">E92+E100+E106</f>
        <v>8873187</v>
      </c>
      <c r="F91" s="121">
        <f t="shared" si="28"/>
        <v>0</v>
      </c>
      <c r="G91" s="121">
        <f t="shared" si="28"/>
        <v>50000</v>
      </c>
      <c r="H91" s="121">
        <f>H92+H100+H106</f>
        <v>0</v>
      </c>
      <c r="I91" s="121">
        <f t="shared" si="28"/>
        <v>1865000</v>
      </c>
      <c r="J91" s="121">
        <f t="shared" si="28"/>
        <v>0</v>
      </c>
      <c r="K91" s="121">
        <f t="shared" si="28"/>
        <v>65000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10088187</v>
      </c>
      <c r="E92" s="130">
        <f t="shared" ref="E92:G92" si="29">SUM(E93:E99)</f>
        <v>8873187</v>
      </c>
      <c r="F92" s="130">
        <f t="shared" si="29"/>
        <v>0</v>
      </c>
      <c r="G92" s="130">
        <f t="shared" si="29"/>
        <v>0</v>
      </c>
      <c r="H92" s="130">
        <f>SUM(H93:H99)</f>
        <v>0</v>
      </c>
      <c r="I92" s="130">
        <f t="shared" ref="I92:K92" si="30">SUM(I93:I99)</f>
        <v>1215000</v>
      </c>
      <c r="J92" s="130">
        <f t="shared" si="30"/>
        <v>0</v>
      </c>
      <c r="K92" s="130">
        <f t="shared" si="30"/>
        <v>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7668255</v>
      </c>
      <c r="E93" s="138">
        <f>SUMIFS('Plan rashoda za unos u SAP'!$K$3:$K$501,'Plan rashoda za unos u SAP'!$C$3:$C$501,"=11",'Plan rashoda za unos u SAP'!$N$3:$N$501,"=31")+SUMIFS('ANALITIKA EU PROJEKATA'!$I$3:$I$34,'ANALITIKA EU PROJEKATA'!$A$3:$A$34,"=11",'ANALITIKA EU PROJEKATA'!$Q$3:$Q$34,"=31")</f>
        <v>7598255</v>
      </c>
      <c r="F93" s="138">
        <f>SUMIFS('Plan rashoda za unos u SAP'!$K$3:$K$501,'Plan rashoda za unos u SAP'!$C$3:$C$501,"=12",'Plan rashoda za unos u SAP'!$N$3:$N$501,"=31")+SUMIFS('ANALITIKA EU PROJEKATA'!$I$3:$I$34,'ANALITIKA EU PROJEKATA'!$A$3:$A$34,"=12",'ANALITIKA EU PROJEKATA'!$Q$3:$Q$34,"=31")</f>
        <v>0</v>
      </c>
      <c r="G93" s="138">
        <f>SUMIFS('Plan rashoda za unos u SAP'!$K$3:$K$501,'Plan rashoda za unos u SAP'!$C$3:$C$501,"=31",'Plan rashoda za unos u SAP'!$N$3:$N$501,"=31")+SUMIFS('ANALITIKA EU PROJEKATA'!$I$3:$I$34,'ANALITIKA EU PROJEKATA'!$A$3:$A$34,"=31",'ANALITIKA EU PROJEKATA'!$Q$3:$Q$34,"=31")</f>
        <v>0</v>
      </c>
      <c r="H93" s="138">
        <f>SUMIFS('Plan rashoda za unos u SAP'!$K$3:$K$501,'Plan rashoda za unos u SAP'!$C$3:$C$501,"=41",'Plan rashoda za unos u SAP'!$N$3:$N$501,"=31")+SUMIFS('ANALITIKA EU PROJEKATA'!$I$3:$I$34,'ANALITIKA EU PROJEKATA'!$A$3:$A$34,"=41",'ANALITIKA EU PROJEKATA'!$Q$3:$Q$34,"=31")</f>
        <v>0</v>
      </c>
      <c r="I93" s="138">
        <f>SUMIFS('Plan rashoda za unos u SAP'!$K$3:$K$501,'Plan rashoda za unos u SAP'!$C$3:$C$501,"=43",'Plan rashoda za unos u SAP'!$N$3:$N$501,"=31")+SUMIFS('ANALITIKA EU PROJEKATA'!$I$3:$I$34,'ANALITIKA EU PROJEKATA'!$A$3:$A$34,"=43",'ANALITIKA EU PROJEKATA'!$Q$3:$Q$34,"=31")</f>
        <v>70000</v>
      </c>
      <c r="J93" s="138">
        <f>SUMIFS('Plan rashoda za unos u SAP'!$K$3:$K$501,'Plan rashoda za unos u SAP'!$C$3:$C$501,"=51",'Plan rashoda za unos u SAP'!$N$3:$N$501,"=31")+SUMIFS('ANALITIKA EU PROJEKATA'!$I$3:$I$34,'ANALITIKA EU PROJEKATA'!$A$3:$A$34,"=51",'ANALITIKA EU PROJEKATA'!$Q$3:$Q$34,"=31")</f>
        <v>0</v>
      </c>
      <c r="K93" s="138">
        <f>SUMIFS('Plan rashoda za unos u SAP'!$K$3:$K$501,'Plan rashoda za unos u SAP'!$C$3:$C$501,"=52",'Plan rashoda za unos u SAP'!$N$3:$N$501,"=31")+SUMIFS('ANALITIKA EU PROJEKATA'!$I$3:$I$34,'ANALITIKA EU PROJEKATA'!$A$3:$A$34,"=52",'ANALITIKA EU PROJEKATA'!$Q$3:$Q$34,"=31")</f>
        <v>0</v>
      </c>
      <c r="L93" s="138">
        <f>SUMIFS('Plan rashoda za unos u SAP'!$K$3:$K$501,'Plan rashoda za unos u SAP'!$C$3:$C$501,"=552",'Plan rashoda za unos u SAP'!$N$3:$N$501,"=31")+SUMIFS('ANALITIKA EU PROJEKATA'!$I$3:$I$34,'ANALITIKA EU PROJEKATA'!$A$3:$A$34,"=552",'ANALITIKA EU PROJEKATA'!$Q$3:$Q$34,"=31")</f>
        <v>0</v>
      </c>
      <c r="M93" s="138">
        <f>SUMIFS('Plan rashoda za unos u SAP'!$K$3:$K$501,'Plan rashoda za unos u SAP'!$C$3:$C$501,"=559",'Plan rashoda za unos u SAP'!$N$3:$N$501,"=31")+SUMIFS('ANALITIKA EU PROJEKATA'!$I$3:$I$34,'ANALITIKA EU PROJEKATA'!$A$3:$A$34,"=559",'ANALITIKA EU PROJEKATA'!$Q$3:$Q$34,"=31")</f>
        <v>0</v>
      </c>
      <c r="N93" s="138">
        <f>SUMIFS('Plan rashoda za unos u SAP'!$K$3:$K$501,'Plan rashoda za unos u SAP'!$C$3:$C$501,"=561",'Plan rashoda za unos u SAP'!$N$3:$N$501,"=31")+SUMIFS('ANALITIKA EU PROJEKATA'!$I$3:$I$34,'ANALITIKA EU PROJEKATA'!$A$3:$A$34,"=561",'ANALITIKA EU PROJEKATA'!$Q$3:$Q$34,"=31")</f>
        <v>0</v>
      </c>
      <c r="O93" s="138">
        <f>SUMIFS('Plan rashoda za unos u SAP'!$K$3:$K$501,'Plan rashoda za unos u SAP'!$C$3:$C$501,"=563",'Plan rashoda za unos u SAP'!$N$3:$N$501,"=31")+SUMIFS('ANALITIKA EU PROJEKATA'!$I$3:$I$34,'ANALITIKA EU PROJEKATA'!$A$3:$A$34,"=563",'ANALITIKA EU PROJEKATA'!$Q$3:$Q$34,"=31")</f>
        <v>0</v>
      </c>
      <c r="P93" s="138">
        <f>SUMIFS('Plan rashoda za unos u SAP'!$K$3:$K$501,'Plan rashoda za unos u SAP'!$C$3:$C$501,"=573",'Plan rashoda za unos u SAP'!$N$3:$N$501,"=31")+SUMIFS('ANALITIKA EU PROJEKATA'!$I$3:$I$34,'ANALITIKA EU PROJEKATA'!$A$3:$A$34,"=573",'ANALITIKA EU PROJEKATA'!$Q$3:$Q$34,"=31")</f>
        <v>0</v>
      </c>
      <c r="Q93" s="138">
        <f>SUMIFS('Plan rashoda za unos u SAP'!$K$3:$K$501,'Plan rashoda za unos u SAP'!$C$3:$C$501,"=575",'Plan rashoda za unos u SAP'!$N$3:$N$501,"=31")+SUMIFS('ANALITIKA EU PROJEKATA'!$I$3:$I$34,'ANALITIKA EU PROJEKATA'!$A$3:$A$34,"=575",'ANALITIKA EU PROJEKATA'!$Q$3:$Q$34,"=31")</f>
        <v>0</v>
      </c>
      <c r="R93" s="138">
        <f>SUMIFS('Plan rashoda za unos u SAP'!$K$3:$K$501,'Plan rashoda za unos u SAP'!$C$3:$C$501,"=576",'Plan rashoda za unos u SAP'!$N$3:$N$501,"=31")+SUMIFS('ANALITIKA EU PROJEKATA'!$I$3:$I$34,'ANALITIKA EU PROJEKATA'!$A$3:$A$34,"=576",'ANALITIKA EU PROJEKATA'!$Q$3:$Q$34,"=31")</f>
        <v>0</v>
      </c>
      <c r="S93" s="138">
        <f>SUMIFS('Plan rashoda za unos u SAP'!$K$3:$K$501,'Plan rashoda za unos u SAP'!$C$3:$C$501,"=581",'Plan rashoda za unos u SAP'!$N$3:$N$501,"=31")+SUMIFS('ANALITIKA EU PROJEKATA'!$I$3:$I$34,'ANALITIKA EU PROJEKATA'!$A$3:$A$34,"=581",'ANALITIKA EU PROJEKATA'!$Q$3:$Q$34,"=31")</f>
        <v>0</v>
      </c>
      <c r="T93" s="138">
        <f>SUMIFS('Plan rashoda za unos u SAP'!$K$3:$K$501,'Plan rashoda za unos u SAP'!$C$3:$C$501,"=61",'Plan rashoda za unos u SAP'!$N$3:$N$501,"=31")+SUMIFS('ANALITIKA EU PROJEKATA'!$I$3:$I$34,'ANALITIKA EU PROJEKATA'!$A$3:$A$34,"=61",'ANALITIKA EU PROJEKATA'!$Q$3:$Q$34,"=31")</f>
        <v>0</v>
      </c>
      <c r="U93" s="138">
        <f>SUMIFS('Plan rashoda za unos u SAP'!$K$3:$K$501,'Plan rashoda za unos u SAP'!$C$3:$C$501,"=63",'Plan rashoda za unos u SAP'!$N$3:$N$501,"=31")+SUMIFS('ANALITIKA EU PROJEKATA'!$I$3:$I$34,'ANALITIKA EU PROJEKATA'!$A$3:$A$34,"=63",'ANALITIKA EU PROJEKATA'!$Q$3:$Q$34,"=31")</f>
        <v>0</v>
      </c>
      <c r="V93" s="138">
        <f>SUMIFS('Plan rashoda za unos u SAP'!$K$3:$K$501,'Plan rashoda za unos u SAP'!$C$3:$C$501,"=71",'Plan rashoda za unos u SAP'!$N$3:$N$501,"=31")+SUMIFS('ANALITIKA EU PROJEKATA'!$I$3:$I$34,'ANALITIKA EU PROJEKATA'!$A$3:$A$34,"=71",'ANALITIKA EU PROJEKATA'!$Q$3:$Q$34,"=31")</f>
        <v>0</v>
      </c>
      <c r="W93" s="138">
        <f>SUMIFS('Plan rashoda za unos u SAP'!$K$3:$K$501,'Plan rashoda za unos u SAP'!$C$3:$C$501,"=81",'Plan rashoda za unos u SAP'!$N$3:$N$501,"=31")+SUMIFS('ANALITIKA EU PROJEKATA'!$I$3:$I$34,'ANALITIKA EU PROJEKATA'!$A$3:$A$34,"=81",'ANALITIKA EU PROJEKATA'!$Q$3:$Q$34,"=31")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2414932</v>
      </c>
      <c r="E94" s="138">
        <f>SUMIFS('Plan rashoda za unos u SAP'!$K$3:$K$501,'Plan rashoda za unos u SAP'!$C$3:$C$501,"=11",'Plan rashoda za unos u SAP'!$N$3:$N$501,"=32")+SUMIFS('ANALITIKA EU PROJEKATA'!$I$3:$I$34,'ANALITIKA EU PROJEKATA'!$A$3:$A$34,"=11",'ANALITIKA EU PROJEKATA'!$Q$3:$Q$34,"=32")</f>
        <v>1274932</v>
      </c>
      <c r="F94" s="138">
        <f>SUMIFS('Plan rashoda za unos u SAP'!$K$3:$K$501,'Plan rashoda za unos u SAP'!$C$3:$C$501,"=12",'Plan rashoda za unos u SAP'!$N$3:$N$501,"=32")+SUMIFS('ANALITIKA EU PROJEKATA'!$I$3:$I$34,'ANALITIKA EU PROJEKATA'!$A$3:$A$34,"=12",'ANALITIKA EU PROJEKATA'!$Q$3:$Q$34,"=32")</f>
        <v>0</v>
      </c>
      <c r="G94" s="138">
        <f>SUMIFS('Plan rashoda za unos u SAP'!$K$3:$K$501,'Plan rashoda za unos u SAP'!$C$3:$C$501,"=31",'Plan rashoda za unos u SAP'!$N$3:$N$501,"=32")+SUMIFS('ANALITIKA EU PROJEKATA'!$I$3:$I$34,'ANALITIKA EU PROJEKATA'!$A$3:$A$34,"=31",'ANALITIKA EU PROJEKATA'!$Q$3:$Q$34,"=32")</f>
        <v>0</v>
      </c>
      <c r="H94" s="138">
        <f>SUMIFS('Plan rashoda za unos u SAP'!$K$3:$K$501,'Plan rashoda za unos u SAP'!$C$3:$C$501,"=41",'Plan rashoda za unos u SAP'!$N$3:$N$501,"=32")+SUMIFS('ANALITIKA EU PROJEKATA'!$I$3:$I$34,'ANALITIKA EU PROJEKATA'!$A$3:$A$34,"=41",'ANALITIKA EU PROJEKATA'!$Q$3:$Q$34,"=32")</f>
        <v>0</v>
      </c>
      <c r="I94" s="138">
        <f>SUMIFS('Plan rashoda za unos u SAP'!$K$3:$K$501,'Plan rashoda za unos u SAP'!$C$3:$C$501,"=43",'Plan rashoda za unos u SAP'!$N$3:$N$501,"=32")+SUMIFS('ANALITIKA EU PROJEKATA'!$I$3:$I$34,'ANALITIKA EU PROJEKATA'!$A$3:$A$34,"=43",'ANALITIKA EU PROJEKATA'!$Q$3:$Q$34,"=32")</f>
        <v>1140000</v>
      </c>
      <c r="J94" s="138">
        <f>SUMIFS('Plan rashoda za unos u SAP'!$K$3:$K$501,'Plan rashoda za unos u SAP'!$C$3:$C$501,"=51",'Plan rashoda za unos u SAP'!$N$3:$N$501,"=32")+SUMIFS('ANALITIKA EU PROJEKATA'!$I$3:$I$34,'ANALITIKA EU PROJEKATA'!$A$3:$A$34,"=51",'ANALITIKA EU PROJEKATA'!$Q$3:$Q$34,"=32")</f>
        <v>0</v>
      </c>
      <c r="K94" s="138">
        <f>SUMIFS('Plan rashoda za unos u SAP'!$K$3:$K$501,'Plan rashoda za unos u SAP'!$C$3:$C$501,"=52",'Plan rashoda za unos u SAP'!$N$3:$N$501,"=32")+SUMIFS('ANALITIKA EU PROJEKATA'!$I$3:$I$34,'ANALITIKA EU PROJEKATA'!$A$3:$A$34,"=52",'ANALITIKA EU PROJEKATA'!$Q$3:$Q$34,"=32")</f>
        <v>0</v>
      </c>
      <c r="L94" s="138">
        <f>SUMIFS('Plan rashoda za unos u SAP'!$K$3:$K$501,'Plan rashoda za unos u SAP'!$C$3:$C$501,"=552",'Plan rashoda za unos u SAP'!$N$3:$N$501,"=32")+SUMIFS('ANALITIKA EU PROJEKATA'!$I$3:$I$34,'ANALITIKA EU PROJEKATA'!$A$3:$A$34,"=552",'ANALITIKA EU PROJEKATA'!$Q$3:$Q$34,"=32")</f>
        <v>0</v>
      </c>
      <c r="M94" s="138">
        <f>SUMIFS('Plan rashoda za unos u SAP'!$K$3:$K$501,'Plan rashoda za unos u SAP'!$C$3:$C$501,"=559",'Plan rashoda za unos u SAP'!$N$3:$N$501,"=32")+SUMIFS('ANALITIKA EU PROJEKATA'!$I$3:$I$34,'ANALITIKA EU PROJEKATA'!$A$3:$A$34,"=559",'ANALITIKA EU PROJEKATA'!$Q$3:$Q$34,"=32")</f>
        <v>0</v>
      </c>
      <c r="N94" s="138">
        <f>SUMIFS('Plan rashoda za unos u SAP'!$K$3:$K$501,'Plan rashoda za unos u SAP'!$C$3:$C$501,"=561",'Plan rashoda za unos u SAP'!$N$3:$N$501,"=32")+SUMIFS('ANALITIKA EU PROJEKATA'!$I$3:$I$34,'ANALITIKA EU PROJEKATA'!$A$3:$A$34,"=561",'ANALITIKA EU PROJEKATA'!$Q$3:$Q$34,"=32")</f>
        <v>0</v>
      </c>
      <c r="O94" s="138">
        <f>SUMIFS('Plan rashoda za unos u SAP'!$K$3:$K$501,'Plan rashoda za unos u SAP'!$C$3:$C$501,"=563",'Plan rashoda za unos u SAP'!$N$3:$N$501,"=32")+SUMIFS('ANALITIKA EU PROJEKATA'!$I$3:$I$34,'ANALITIKA EU PROJEKATA'!$A$3:$A$34,"=563",'ANALITIKA EU PROJEKATA'!$Q$3:$Q$34,"=32")</f>
        <v>0</v>
      </c>
      <c r="P94" s="138">
        <f>SUMIFS('Plan rashoda za unos u SAP'!$K$3:$K$501,'Plan rashoda za unos u SAP'!$C$3:$C$501,"=573",'Plan rashoda za unos u SAP'!$N$3:$N$501,"=32")+SUMIFS('ANALITIKA EU PROJEKATA'!$I$3:$I$34,'ANALITIKA EU PROJEKATA'!$A$3:$A$34,"=573",'ANALITIKA EU PROJEKATA'!$Q$3:$Q$34,"=32")</f>
        <v>0</v>
      </c>
      <c r="Q94" s="138">
        <f>SUMIFS('Plan rashoda za unos u SAP'!$K$3:$K$501,'Plan rashoda za unos u SAP'!$C$3:$C$501,"=575",'Plan rashoda za unos u SAP'!$N$3:$N$501,"=32")+SUMIFS('ANALITIKA EU PROJEKATA'!$I$3:$I$34,'ANALITIKA EU PROJEKATA'!$A$3:$A$34,"=575",'ANALITIKA EU PROJEKATA'!$Q$3:$Q$34,"=32")</f>
        <v>0</v>
      </c>
      <c r="R94" s="138">
        <f>SUMIFS('Plan rashoda za unos u SAP'!$K$3:$K$501,'Plan rashoda za unos u SAP'!$C$3:$C$501,"=576",'Plan rashoda za unos u SAP'!$N$3:$N$501,"=32")+SUMIFS('ANALITIKA EU PROJEKATA'!$I$3:$I$34,'ANALITIKA EU PROJEKATA'!$A$3:$A$34,"=576",'ANALITIKA EU PROJEKATA'!$Q$3:$Q$34,"=32")</f>
        <v>0</v>
      </c>
      <c r="S94" s="138">
        <f>SUMIFS('Plan rashoda za unos u SAP'!$K$3:$K$501,'Plan rashoda za unos u SAP'!$C$3:$C$501,"=581",'Plan rashoda za unos u SAP'!$N$3:$N$501,"=32")+SUMIFS('ANALITIKA EU PROJEKATA'!$I$3:$I$34,'ANALITIKA EU PROJEKATA'!$A$3:$A$34,"=581",'ANALITIKA EU PROJEKATA'!$Q$3:$Q$34,"=32")</f>
        <v>0</v>
      </c>
      <c r="T94" s="138">
        <f>SUMIFS('Plan rashoda za unos u SAP'!$K$3:$K$501,'Plan rashoda za unos u SAP'!$C$3:$C$501,"=61",'Plan rashoda za unos u SAP'!$N$3:$N$501,"=32")+SUMIFS('ANALITIKA EU PROJEKATA'!$I$3:$I$34,'ANALITIKA EU PROJEKATA'!$A$3:$A$34,"=61",'ANALITIKA EU PROJEKATA'!$Q$3:$Q$34,"=32")</f>
        <v>0</v>
      </c>
      <c r="U94" s="138">
        <f>SUMIFS('Plan rashoda za unos u SAP'!$K$3:$K$501,'Plan rashoda za unos u SAP'!$C$3:$C$501,"=63",'Plan rashoda za unos u SAP'!$N$3:$N$501,"=32")+SUMIFS('ANALITIKA EU PROJEKATA'!$I$3:$I$34,'ANALITIKA EU PROJEKATA'!$A$3:$A$34,"=63",'ANALITIKA EU PROJEKATA'!$Q$3:$Q$34,"=32")</f>
        <v>0</v>
      </c>
      <c r="V94" s="138">
        <f>SUMIFS('Plan rashoda za unos u SAP'!$K$3:$K$501,'Plan rashoda za unos u SAP'!$C$3:$C$501,"=71",'Plan rashoda za unos u SAP'!$N$3:$N$501,"=32")+SUMIFS('ANALITIKA EU PROJEKATA'!$I$3:$I$34,'ANALITIKA EU PROJEKATA'!$A$3:$A$34,"=71",'ANALITIKA EU PROJEKATA'!$Q$3:$Q$34,"=32")</f>
        <v>0</v>
      </c>
      <c r="W94" s="138">
        <f>SUMIFS('Plan rashoda za unos u SAP'!$K$3:$K$501,'Plan rashoda za unos u SAP'!$C$3:$C$501,"=81",'Plan rashoda za unos u SAP'!$N$3:$N$501,"=32")+SUMIFS('ANALITIKA EU PROJEKATA'!$I$3:$I$34,'ANALITIKA EU PROJEKATA'!$A$3:$A$34,"=81",'ANALITIKA EU PROJEKATA'!$Q$3:$Q$34,"=32")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5000</v>
      </c>
      <c r="E95" s="138">
        <f>SUMIFS('Plan rashoda za unos u SAP'!$K$3:$K$501,'Plan rashoda za unos u SAP'!$C$3:$C$501,"=11",'Plan rashoda za unos u SAP'!$N$3:$N$501,"=34")+SUMIFS('ANALITIKA EU PROJEKATA'!$I$3:$I$34,'ANALITIKA EU PROJEKATA'!$A$3:$A$34,"=11",'ANALITIKA EU PROJEKATA'!$Q$3:$Q$34,"=34")</f>
        <v>0</v>
      </c>
      <c r="F95" s="138">
        <f>SUMIFS('Plan rashoda za unos u SAP'!$K$3:$K$501,'Plan rashoda za unos u SAP'!$C$3:$C$501,"=12",'Plan rashoda za unos u SAP'!$N$3:$N$501,"=34")+SUMIFS('ANALITIKA EU PROJEKATA'!$I$3:$I$34,'ANALITIKA EU PROJEKATA'!$A$3:$A$34,"=12",'ANALITIKA EU PROJEKATA'!$Q$3:$Q$34,"=34")</f>
        <v>0</v>
      </c>
      <c r="G95" s="138">
        <f>SUMIFS('Plan rashoda za unos u SAP'!$K$3:$K$501,'Plan rashoda za unos u SAP'!$C$3:$C$501,"=31",'Plan rashoda za unos u SAP'!$N$3:$N$501,"=34")+SUMIFS('ANALITIKA EU PROJEKATA'!$I$3:$I$34,'ANALITIKA EU PROJEKATA'!$A$3:$A$34,"=31",'ANALITIKA EU PROJEKATA'!$Q$3:$Q$34,"=34")</f>
        <v>0</v>
      </c>
      <c r="H95" s="138">
        <f>SUMIFS('Plan rashoda za unos u SAP'!$K$3:$K$501,'Plan rashoda za unos u SAP'!$C$3:$C$501,"=41",'Plan rashoda za unos u SAP'!$N$3:$N$501,"=34")+SUMIFS('ANALITIKA EU PROJEKATA'!$I$3:$I$34,'ANALITIKA EU PROJEKATA'!$A$3:$A$34,"=41",'ANALITIKA EU PROJEKATA'!$Q$3:$Q$34,"=34")</f>
        <v>0</v>
      </c>
      <c r="I95" s="138">
        <f>SUMIFS('Plan rashoda za unos u SAP'!$K$3:$K$501,'Plan rashoda za unos u SAP'!$C$3:$C$501,"=43",'Plan rashoda za unos u SAP'!$N$3:$N$501,"=34")+SUMIFS('ANALITIKA EU PROJEKATA'!$I$3:$I$34,'ANALITIKA EU PROJEKATA'!$A$3:$A$34,"=43",'ANALITIKA EU PROJEKATA'!$Q$3:$Q$34,"=34")</f>
        <v>5000</v>
      </c>
      <c r="J95" s="138">
        <f>SUMIFS('Plan rashoda za unos u SAP'!$K$3:$K$501,'Plan rashoda za unos u SAP'!$C$3:$C$501,"=51",'Plan rashoda za unos u SAP'!$N$3:$N$501,"=34")+SUMIFS('ANALITIKA EU PROJEKATA'!$I$3:$I$34,'ANALITIKA EU PROJEKATA'!$A$3:$A$34,"=51",'ANALITIKA EU PROJEKATA'!$Q$3:$Q$34,"=34")</f>
        <v>0</v>
      </c>
      <c r="K95" s="138">
        <f>SUMIFS('Plan rashoda za unos u SAP'!$K$3:$K$501,'Plan rashoda za unos u SAP'!$C$3:$C$501,"=52",'Plan rashoda za unos u SAP'!$N$3:$N$501,"=34")+SUMIFS('ANALITIKA EU PROJEKATA'!$I$3:$I$34,'ANALITIKA EU PROJEKATA'!$A$3:$A$34,"=52",'ANALITIKA EU PROJEKATA'!$Q$3:$Q$34,"=34")</f>
        <v>0</v>
      </c>
      <c r="L95" s="138">
        <f>SUMIFS('Plan rashoda za unos u SAP'!$K$3:$K$501,'Plan rashoda za unos u SAP'!$C$3:$C$501,"=552",'Plan rashoda za unos u SAP'!$N$3:$N$501,"=34")+SUMIFS('ANALITIKA EU PROJEKATA'!$I$3:$I$34,'ANALITIKA EU PROJEKATA'!$A$3:$A$34,"=552",'ANALITIKA EU PROJEKATA'!$Q$3:$Q$34,"=34")</f>
        <v>0</v>
      </c>
      <c r="M95" s="138">
        <f>SUMIFS('Plan rashoda za unos u SAP'!$K$3:$K$501,'Plan rashoda za unos u SAP'!$C$3:$C$501,"=559",'Plan rashoda za unos u SAP'!$N$3:$N$501,"=34")+SUMIFS('ANALITIKA EU PROJEKATA'!$I$3:$I$34,'ANALITIKA EU PROJEKATA'!$A$3:$A$34,"=559",'ANALITIKA EU PROJEKATA'!$Q$3:$Q$34,"=34")</f>
        <v>0</v>
      </c>
      <c r="N95" s="138">
        <f>SUMIFS('Plan rashoda za unos u SAP'!$K$3:$K$501,'Plan rashoda za unos u SAP'!$C$3:$C$501,"=561",'Plan rashoda za unos u SAP'!$N$3:$N$501,"=34")+SUMIFS('ANALITIKA EU PROJEKATA'!$I$3:$I$34,'ANALITIKA EU PROJEKATA'!$A$3:$A$34,"=561",'ANALITIKA EU PROJEKATA'!$Q$3:$Q$34,"=34")</f>
        <v>0</v>
      </c>
      <c r="O95" s="138">
        <f>SUMIFS('Plan rashoda za unos u SAP'!$K$3:$K$501,'Plan rashoda za unos u SAP'!$C$3:$C$501,"=563",'Plan rashoda za unos u SAP'!$N$3:$N$501,"=34")+SUMIFS('ANALITIKA EU PROJEKATA'!$I$3:$I$34,'ANALITIKA EU PROJEKATA'!$A$3:$A$34,"=563",'ANALITIKA EU PROJEKATA'!$Q$3:$Q$34,"=34")</f>
        <v>0</v>
      </c>
      <c r="P95" s="138">
        <f>SUMIFS('Plan rashoda za unos u SAP'!$K$3:$K$501,'Plan rashoda za unos u SAP'!$C$3:$C$501,"=573",'Plan rashoda za unos u SAP'!$N$3:$N$501,"=34")+SUMIFS('ANALITIKA EU PROJEKATA'!$I$3:$I$34,'ANALITIKA EU PROJEKATA'!$A$3:$A$34,"=573",'ANALITIKA EU PROJEKATA'!$Q$3:$Q$34,"=34")</f>
        <v>0</v>
      </c>
      <c r="Q95" s="138">
        <f>SUMIFS('Plan rashoda za unos u SAP'!$K$3:$K$501,'Plan rashoda za unos u SAP'!$C$3:$C$501,"=575",'Plan rashoda za unos u SAP'!$N$3:$N$501,"=34")+SUMIFS('ANALITIKA EU PROJEKATA'!$I$3:$I$34,'ANALITIKA EU PROJEKATA'!$A$3:$A$34,"=575",'ANALITIKA EU PROJEKATA'!$Q$3:$Q$34,"=34")</f>
        <v>0</v>
      </c>
      <c r="R95" s="138">
        <f>SUMIFS('Plan rashoda za unos u SAP'!$K$3:$K$501,'Plan rashoda za unos u SAP'!$C$3:$C$501,"=576",'Plan rashoda za unos u SAP'!$N$3:$N$501,"=34")+SUMIFS('ANALITIKA EU PROJEKATA'!$I$3:$I$34,'ANALITIKA EU PROJEKATA'!$A$3:$A$34,"=576",'ANALITIKA EU PROJEKATA'!$Q$3:$Q$34,"=34")</f>
        <v>0</v>
      </c>
      <c r="S95" s="138">
        <f>SUMIFS('Plan rashoda za unos u SAP'!$K$3:$K$501,'Plan rashoda za unos u SAP'!$C$3:$C$501,"=581",'Plan rashoda za unos u SAP'!$N$3:$N$501,"=34")+SUMIFS('ANALITIKA EU PROJEKATA'!$I$3:$I$34,'ANALITIKA EU PROJEKATA'!$A$3:$A$34,"=581",'ANALITIKA EU PROJEKATA'!$Q$3:$Q$34,"=34")</f>
        <v>0</v>
      </c>
      <c r="T95" s="138">
        <f>SUMIFS('Plan rashoda za unos u SAP'!$K$3:$K$501,'Plan rashoda za unos u SAP'!$C$3:$C$501,"=61",'Plan rashoda za unos u SAP'!$N$3:$N$501,"=34")+SUMIFS('ANALITIKA EU PROJEKATA'!$I$3:$I$34,'ANALITIKA EU PROJEKATA'!$A$3:$A$34,"=61",'ANALITIKA EU PROJEKATA'!$Q$3:$Q$34,"=34")</f>
        <v>0</v>
      </c>
      <c r="U95" s="138">
        <f>SUMIFS('Plan rashoda za unos u SAP'!$K$3:$K$501,'Plan rashoda za unos u SAP'!$C$3:$C$501,"=63",'Plan rashoda za unos u SAP'!$N$3:$N$501,"=34")+SUMIFS('ANALITIKA EU PROJEKATA'!$I$3:$I$34,'ANALITIKA EU PROJEKATA'!$A$3:$A$34,"=63",'ANALITIKA EU PROJEKATA'!$Q$3:$Q$34,"=34")</f>
        <v>0</v>
      </c>
      <c r="V95" s="138">
        <f>SUMIFS('Plan rashoda za unos u SAP'!$K$3:$K$501,'Plan rashoda za unos u SAP'!$C$3:$C$501,"=71",'Plan rashoda za unos u SAP'!$N$3:$N$501,"=34")+SUMIFS('ANALITIKA EU PROJEKATA'!$I$3:$I$34,'ANALITIKA EU PROJEKATA'!$A$3:$A$34,"=71",'ANALITIKA EU PROJEKATA'!$Q$3:$Q$34,"=34")</f>
        <v>0</v>
      </c>
      <c r="W95" s="138">
        <f>SUMIFS('Plan rashoda za unos u SAP'!$K$3:$K$501,'Plan rashoda za unos u SAP'!$C$3:$C$501,"=81",'Plan rashoda za unos u SAP'!$N$3:$N$501,"=34")+SUMIFS('ANALITIKA EU PROJEKATA'!$I$3:$I$34,'ANALITIKA EU PROJEKATA'!$A$3:$A$34,"=81",'ANALITIKA EU PROJEKATA'!$Q$3:$Q$34,"=34")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PROJEKATA'!$I$3:$I$34,'ANALITIKA EU PROJEKATA'!$A$3:$A$34,"=11",'ANALITIKA EU PROJEKATA'!$Q$3:$Q$34,"=35")</f>
        <v>0</v>
      </c>
      <c r="F96" s="138">
        <f>SUMIFS('Plan rashoda za unos u SAP'!$K$3:$K$501,'Plan rashoda za unos u SAP'!$C$3:$C$501,"=12",'Plan rashoda za unos u SAP'!$N$3:$N$501,"=35")+SUMIFS('ANALITIKA EU PROJEKATA'!$I$3:$I$34,'ANALITIKA EU PROJEKATA'!$A$3:$A$34,"=12",'ANALITIKA EU PROJEKATA'!$Q$3:$Q$34,"=35")</f>
        <v>0</v>
      </c>
      <c r="G96" s="138">
        <f>SUMIFS('Plan rashoda za unos u SAP'!$K$3:$K$501,'Plan rashoda za unos u SAP'!$C$3:$C$501,"=31",'Plan rashoda za unos u SAP'!$N$3:$N$501,"=35")+SUMIFS('ANALITIKA EU PROJEKATA'!$I$3:$I$34,'ANALITIKA EU PROJEKATA'!$A$3:$A$34,"=31",'ANALITIKA EU PROJEKATA'!$Q$3:$Q$34,"=35")</f>
        <v>0</v>
      </c>
      <c r="H96" s="138">
        <f>SUMIFS('Plan rashoda za unos u SAP'!$K$3:$K$501,'Plan rashoda za unos u SAP'!$C$3:$C$501,"=41",'Plan rashoda za unos u SAP'!$N$3:$N$501,"=35")+SUMIFS('ANALITIKA EU PROJEKATA'!$I$3:$I$34,'ANALITIKA EU PROJEKATA'!$A$3:$A$34,"=41",'ANALITIKA EU PROJEKATA'!$Q$3:$Q$34,"=35")</f>
        <v>0</v>
      </c>
      <c r="I96" s="138">
        <f>SUMIFS('Plan rashoda za unos u SAP'!$K$3:$K$501,'Plan rashoda za unos u SAP'!$C$3:$C$501,"=43",'Plan rashoda za unos u SAP'!$N$3:$N$501,"=35")+SUMIFS('ANALITIKA EU PROJEKATA'!$I$3:$I$34,'ANALITIKA EU PROJEKATA'!$A$3:$A$34,"=43",'ANALITIKA EU PROJEKATA'!$Q$3:$Q$34,"=35")</f>
        <v>0</v>
      </c>
      <c r="J96" s="138">
        <f>SUMIFS('Plan rashoda za unos u SAP'!$K$3:$K$501,'Plan rashoda za unos u SAP'!$C$3:$C$501,"=51",'Plan rashoda za unos u SAP'!$N$3:$N$501,"=35")+SUMIFS('ANALITIKA EU PROJEKATA'!$I$3:$I$34,'ANALITIKA EU PROJEKATA'!$A$3:$A$34,"=51",'ANALITIKA EU PROJEKATA'!$Q$3:$Q$34,"=35")</f>
        <v>0</v>
      </c>
      <c r="K96" s="138">
        <f>SUMIFS('Plan rashoda za unos u SAP'!$K$3:$K$501,'Plan rashoda za unos u SAP'!$C$3:$C$501,"=52",'Plan rashoda za unos u SAP'!$N$3:$N$501,"=35")+SUMIFS('ANALITIKA EU PROJEKATA'!$I$3:$I$34,'ANALITIKA EU PROJEKATA'!$A$3:$A$34,"=52",'ANALITIKA EU PROJEKATA'!$Q$3:$Q$34,"=35")</f>
        <v>0</v>
      </c>
      <c r="L96" s="138">
        <f>SUMIFS('Plan rashoda za unos u SAP'!$K$3:$K$501,'Plan rashoda za unos u SAP'!$C$3:$C$501,"=552",'Plan rashoda za unos u SAP'!$N$3:$N$501,"=35")+SUMIFS('ANALITIKA EU PROJEKATA'!$I$3:$I$34,'ANALITIKA EU PROJEKATA'!$A$3:$A$34,"=552",'ANALITIKA EU PROJEKATA'!$Q$3:$Q$34,"=35")</f>
        <v>0</v>
      </c>
      <c r="M96" s="138">
        <f>SUMIFS('Plan rashoda za unos u SAP'!$K$3:$K$501,'Plan rashoda za unos u SAP'!$C$3:$C$501,"=559",'Plan rashoda za unos u SAP'!$N$3:$N$501,"=35")+SUMIFS('ANALITIKA EU PROJEKATA'!$I$3:$I$34,'ANALITIKA EU PROJEKATA'!$A$3:$A$34,"=559",'ANALITIKA EU PROJEKATA'!$Q$3:$Q$34,"=35")</f>
        <v>0</v>
      </c>
      <c r="N96" s="138">
        <f>SUMIFS('Plan rashoda za unos u SAP'!$K$3:$K$501,'Plan rashoda za unos u SAP'!$C$3:$C$501,"=561",'Plan rashoda za unos u SAP'!$N$3:$N$501,"=35")+SUMIFS('ANALITIKA EU PROJEKATA'!$I$3:$I$34,'ANALITIKA EU PROJEKATA'!$A$3:$A$34,"=561",'ANALITIKA EU PROJEKATA'!$Q$3:$Q$34,"=35")</f>
        <v>0</v>
      </c>
      <c r="O96" s="138">
        <f>SUMIFS('Plan rashoda za unos u SAP'!$K$3:$K$501,'Plan rashoda za unos u SAP'!$C$3:$C$501,"=563",'Plan rashoda za unos u SAP'!$N$3:$N$501,"=35")+SUMIFS('ANALITIKA EU PROJEKATA'!$I$3:$I$34,'ANALITIKA EU PROJEKATA'!$A$3:$A$34,"=563",'ANALITIKA EU PROJEKATA'!$Q$3:$Q$34,"=35")</f>
        <v>0</v>
      </c>
      <c r="P96" s="138">
        <f>SUMIFS('Plan rashoda za unos u SAP'!$K$3:$K$501,'Plan rashoda za unos u SAP'!$C$3:$C$501,"=573",'Plan rashoda za unos u SAP'!$N$3:$N$501,"=35")+SUMIFS('ANALITIKA EU PROJEKATA'!$I$3:$I$34,'ANALITIKA EU PROJEKATA'!$A$3:$A$34,"=573",'ANALITIKA EU PROJEKATA'!$Q$3:$Q$34,"=35")</f>
        <v>0</v>
      </c>
      <c r="Q96" s="138">
        <f>SUMIFS('Plan rashoda za unos u SAP'!$K$3:$K$501,'Plan rashoda za unos u SAP'!$C$3:$C$501,"=575",'Plan rashoda za unos u SAP'!$N$3:$N$501,"=35")+SUMIFS('ANALITIKA EU PROJEKATA'!$I$3:$I$34,'ANALITIKA EU PROJEKATA'!$A$3:$A$34,"=575",'ANALITIKA EU PROJEKATA'!$Q$3:$Q$34,"=35")</f>
        <v>0</v>
      </c>
      <c r="R96" s="138">
        <f>SUMIFS('Plan rashoda za unos u SAP'!$K$3:$K$501,'Plan rashoda za unos u SAP'!$C$3:$C$501,"=576",'Plan rashoda za unos u SAP'!$N$3:$N$501,"=35")+SUMIFS('ANALITIKA EU PROJEKATA'!$I$3:$I$34,'ANALITIKA EU PROJEKATA'!$A$3:$A$34,"=576",'ANALITIKA EU PROJEKATA'!$Q$3:$Q$34,"=35")</f>
        <v>0</v>
      </c>
      <c r="S96" s="138">
        <f>SUMIFS('Plan rashoda za unos u SAP'!$K$3:$K$501,'Plan rashoda za unos u SAP'!$C$3:$C$501,"=581",'Plan rashoda za unos u SAP'!$N$3:$N$501,"=35")+SUMIFS('ANALITIKA EU PROJEKATA'!$I$3:$I$34,'ANALITIKA EU PROJEKATA'!$A$3:$A$34,"=581",'ANALITIKA EU PROJEKATA'!$Q$3:$Q$34,"=35")</f>
        <v>0</v>
      </c>
      <c r="T96" s="138">
        <f>SUMIFS('Plan rashoda za unos u SAP'!$K$3:$K$501,'Plan rashoda za unos u SAP'!$C$3:$C$501,"=61",'Plan rashoda za unos u SAP'!$N$3:$N$501,"=35")+SUMIFS('ANALITIKA EU PROJEKATA'!$I$3:$I$34,'ANALITIKA EU PROJEKATA'!$A$3:$A$34,"=61",'ANALITIKA EU PROJEKATA'!$Q$3:$Q$34,"=35")</f>
        <v>0</v>
      </c>
      <c r="U96" s="138">
        <f>SUMIFS('Plan rashoda za unos u SAP'!$K$3:$K$501,'Plan rashoda za unos u SAP'!$C$3:$C$501,"=63",'Plan rashoda za unos u SAP'!$N$3:$N$501,"=35")+SUMIFS('ANALITIKA EU PROJEKATA'!$I$3:$I$34,'ANALITIKA EU PROJEKATA'!$A$3:$A$34,"=63",'ANALITIKA EU PROJEKATA'!$Q$3:$Q$34,"=35")</f>
        <v>0</v>
      </c>
      <c r="V96" s="138">
        <f>SUMIFS('Plan rashoda za unos u SAP'!$K$3:$K$501,'Plan rashoda za unos u SAP'!$C$3:$C$501,"=71",'Plan rashoda za unos u SAP'!$N$3:$N$501,"=35")+SUMIFS('ANALITIKA EU PROJEKATA'!$I$3:$I$34,'ANALITIKA EU PROJEKATA'!$A$3:$A$34,"=71",'ANALITIKA EU PROJEKATA'!$Q$3:$Q$34,"=35")</f>
        <v>0</v>
      </c>
      <c r="W96" s="138">
        <f>SUMIFS('Plan rashoda za unos u SAP'!$K$3:$K$501,'Plan rashoda za unos u SAP'!$C$3:$C$501,"=81",'Plan rashoda za unos u SAP'!$N$3:$N$501,"=35")+SUMIFS('ANALITIKA EU PROJEKATA'!$I$3:$I$34,'ANALITIKA EU PROJEKATA'!$A$3:$A$34,"=81",'ANALITIKA EU PROJEKATA'!$Q$3:$Q$34,"=35")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PROJEKATA'!$I$3:$I$34,'ANALITIKA EU PROJEKATA'!$A$3:$A$34,"=11",'ANALITIKA EU PROJEKATA'!$Q$3:$Q$34,"=36")</f>
        <v>0</v>
      </c>
      <c r="F97" s="138">
        <f>SUMIFS('Plan rashoda za unos u SAP'!$K$3:$K$501,'Plan rashoda za unos u SAP'!$C$3:$C$501,"=12",'Plan rashoda za unos u SAP'!$N$3:$N$501,"=36")+SUMIFS('ANALITIKA EU PROJEKATA'!$I$3:$I$34,'ANALITIKA EU PROJEKATA'!$A$3:$A$34,"=12",'ANALITIKA EU PROJEKATA'!$Q$3:$Q$34,"=36")</f>
        <v>0</v>
      </c>
      <c r="G97" s="138">
        <f>SUMIFS('Plan rashoda za unos u SAP'!$K$3:$K$501,'Plan rashoda za unos u SAP'!$C$3:$C$501,"=31",'Plan rashoda za unos u SAP'!$N$3:$N$501,"=36")+SUMIFS('ANALITIKA EU PROJEKATA'!$I$3:$I$34,'ANALITIKA EU PROJEKATA'!$A$3:$A$34,"=31",'ANALITIKA EU PROJEKATA'!$Q$3:$Q$34,"=36")</f>
        <v>0</v>
      </c>
      <c r="H97" s="138">
        <f>SUMIFS('Plan rashoda za unos u SAP'!$K$3:$K$501,'Plan rashoda za unos u SAP'!$C$3:$C$501,"=41",'Plan rashoda za unos u SAP'!$N$3:$N$501,"=36")+SUMIFS('ANALITIKA EU PROJEKATA'!$I$3:$I$34,'ANALITIKA EU PROJEKATA'!$A$3:$A$34,"=41",'ANALITIKA EU PROJEKATA'!$Q$3:$Q$34,"=36")</f>
        <v>0</v>
      </c>
      <c r="I97" s="138">
        <f>SUMIFS('Plan rashoda za unos u SAP'!$K$3:$K$501,'Plan rashoda za unos u SAP'!$C$3:$C$501,"=43",'Plan rashoda za unos u SAP'!$N$3:$N$501,"=36")+SUMIFS('ANALITIKA EU PROJEKATA'!$I$3:$I$34,'ANALITIKA EU PROJEKATA'!$A$3:$A$34,"=43",'ANALITIKA EU PROJEKATA'!$Q$3:$Q$34,"=36")</f>
        <v>0</v>
      </c>
      <c r="J97" s="138">
        <f>SUMIFS('Plan rashoda za unos u SAP'!$K$3:$K$501,'Plan rashoda za unos u SAP'!$C$3:$C$501,"=51",'Plan rashoda za unos u SAP'!$N$3:$N$501,"=36")+SUMIFS('ANALITIKA EU PROJEKATA'!$I$3:$I$34,'ANALITIKA EU PROJEKATA'!$A$3:$A$34,"=51",'ANALITIKA EU PROJEKATA'!$Q$3:$Q$34,"=36")</f>
        <v>0</v>
      </c>
      <c r="K97" s="138">
        <f>SUMIFS('Plan rashoda za unos u SAP'!$K$3:$K$501,'Plan rashoda za unos u SAP'!$C$3:$C$501,"=52",'Plan rashoda za unos u SAP'!$N$3:$N$501,"=36")+SUMIFS('ANALITIKA EU PROJEKATA'!$I$3:$I$34,'ANALITIKA EU PROJEKATA'!$A$3:$A$34,"=52",'ANALITIKA EU PROJEKATA'!$Q$3:$Q$34,"=36")</f>
        <v>0</v>
      </c>
      <c r="L97" s="138">
        <f>SUMIFS('Plan rashoda za unos u SAP'!$K$3:$K$501,'Plan rashoda za unos u SAP'!$C$3:$C$501,"=552",'Plan rashoda za unos u SAP'!$N$3:$N$501,"=36")+SUMIFS('ANALITIKA EU PROJEKATA'!$I$3:$I$34,'ANALITIKA EU PROJEKATA'!$A$3:$A$34,"=552",'ANALITIKA EU PROJEKATA'!$Q$3:$Q$34,"=36")</f>
        <v>0</v>
      </c>
      <c r="M97" s="138">
        <f>SUMIFS('Plan rashoda za unos u SAP'!$K$3:$K$501,'Plan rashoda za unos u SAP'!$C$3:$C$501,"=559",'Plan rashoda za unos u SAP'!$N$3:$N$501,"=36")+SUMIFS('ANALITIKA EU PROJEKATA'!$I$3:$I$34,'ANALITIKA EU PROJEKATA'!$A$3:$A$34,"=559",'ANALITIKA EU PROJEKATA'!$Q$3:$Q$34,"=36")</f>
        <v>0</v>
      </c>
      <c r="N97" s="138">
        <f>SUMIFS('Plan rashoda za unos u SAP'!$K$3:$K$501,'Plan rashoda za unos u SAP'!$C$3:$C$501,"=561",'Plan rashoda za unos u SAP'!$N$3:$N$501,"=36")+SUMIFS('ANALITIKA EU PROJEKATA'!$I$3:$I$34,'ANALITIKA EU PROJEKATA'!$A$3:$A$34,"=561",'ANALITIKA EU PROJEKATA'!$Q$3:$Q$34,"=36")</f>
        <v>0</v>
      </c>
      <c r="O97" s="138">
        <f>SUMIFS('Plan rashoda za unos u SAP'!$K$3:$K$501,'Plan rashoda za unos u SAP'!$C$3:$C$501,"=563",'Plan rashoda za unos u SAP'!$N$3:$N$501,"=36")+SUMIFS('ANALITIKA EU PROJEKATA'!$I$3:$I$34,'ANALITIKA EU PROJEKATA'!$A$3:$A$34,"=563",'ANALITIKA EU PROJEKATA'!$Q$3:$Q$34,"=36")</f>
        <v>0</v>
      </c>
      <c r="P97" s="138">
        <f>SUMIFS('Plan rashoda za unos u SAP'!$K$3:$K$501,'Plan rashoda za unos u SAP'!$C$3:$C$501,"=573",'Plan rashoda za unos u SAP'!$N$3:$N$501,"=36")+SUMIFS('ANALITIKA EU PROJEKATA'!$I$3:$I$34,'ANALITIKA EU PROJEKATA'!$A$3:$A$34,"=573",'ANALITIKA EU PROJEKATA'!$Q$3:$Q$34,"=36")</f>
        <v>0</v>
      </c>
      <c r="Q97" s="138">
        <f>SUMIFS('Plan rashoda za unos u SAP'!$K$3:$K$501,'Plan rashoda za unos u SAP'!$C$3:$C$501,"=575",'Plan rashoda za unos u SAP'!$N$3:$N$501,"=36")+SUMIFS('ANALITIKA EU PROJEKATA'!$I$3:$I$34,'ANALITIKA EU PROJEKATA'!$A$3:$A$34,"=575",'ANALITIKA EU PROJEKATA'!$Q$3:$Q$34,"=36")</f>
        <v>0</v>
      </c>
      <c r="R97" s="138">
        <f>SUMIFS('Plan rashoda za unos u SAP'!$K$3:$K$501,'Plan rashoda za unos u SAP'!$C$3:$C$501,"=576",'Plan rashoda za unos u SAP'!$N$3:$N$501,"=36")+SUMIFS('ANALITIKA EU PROJEKATA'!$I$3:$I$34,'ANALITIKA EU PROJEKATA'!$A$3:$A$34,"=576",'ANALITIKA EU PROJEKATA'!$Q$3:$Q$34,"=36")</f>
        <v>0</v>
      </c>
      <c r="S97" s="138">
        <f>SUMIFS('Plan rashoda za unos u SAP'!$K$3:$K$501,'Plan rashoda za unos u SAP'!$C$3:$C$501,"=581",'Plan rashoda za unos u SAP'!$N$3:$N$501,"=36")+SUMIFS('ANALITIKA EU PROJEKATA'!$I$3:$I$34,'ANALITIKA EU PROJEKATA'!$A$3:$A$34,"=581",'ANALITIKA EU PROJEKATA'!$Q$3:$Q$34,"=36")</f>
        <v>0</v>
      </c>
      <c r="T97" s="138">
        <f>SUMIFS('Plan rashoda za unos u SAP'!$K$3:$K$501,'Plan rashoda za unos u SAP'!$C$3:$C$501,"=61",'Plan rashoda za unos u SAP'!$N$3:$N$501,"=36")+SUMIFS('ANALITIKA EU PROJEKATA'!$I$3:$I$34,'ANALITIKA EU PROJEKATA'!$A$3:$A$34,"=61",'ANALITIKA EU PROJEKATA'!$Q$3:$Q$34,"=36")</f>
        <v>0</v>
      </c>
      <c r="U97" s="138">
        <f>SUMIFS('Plan rashoda za unos u SAP'!$K$3:$K$501,'Plan rashoda za unos u SAP'!$C$3:$C$501,"=63",'Plan rashoda za unos u SAP'!$N$3:$N$501,"=36")+SUMIFS('ANALITIKA EU PROJEKATA'!$I$3:$I$34,'ANALITIKA EU PROJEKATA'!$A$3:$A$34,"=63",'ANALITIKA EU PROJEKATA'!$Q$3:$Q$34,"=36")</f>
        <v>0</v>
      </c>
      <c r="V97" s="138">
        <f>SUMIFS('Plan rashoda za unos u SAP'!$K$3:$K$501,'Plan rashoda za unos u SAP'!$C$3:$C$501,"=71",'Plan rashoda za unos u SAP'!$N$3:$N$501,"=36")+SUMIFS('ANALITIKA EU PROJEKATA'!$I$3:$I$34,'ANALITIKA EU PROJEKATA'!$A$3:$A$34,"=71",'ANALITIKA EU PROJEKATA'!$Q$3:$Q$34,"=36")</f>
        <v>0</v>
      </c>
      <c r="W97" s="138">
        <f>SUMIFS('Plan rashoda za unos u SAP'!$K$3:$K$501,'Plan rashoda za unos u SAP'!$C$3:$C$501,"=81",'Plan rashoda za unos u SAP'!$N$3:$N$501,"=36")+SUMIFS('ANALITIKA EU PROJEKATA'!$I$3:$I$34,'ANALITIKA EU PROJEKATA'!$A$3:$A$34,"=81",'ANALITIKA EU PROJEKATA'!$Q$3:$Q$34,"=36")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PROJEKATA'!$I$3:$I$34,'ANALITIKA EU PROJEKATA'!$A$3:$A$34,"=11",'ANALITIKA EU PROJEKATA'!$Q$3:$Q$34,"=37")</f>
        <v>0</v>
      </c>
      <c r="F98" s="138">
        <f>SUMIFS('Plan rashoda za unos u SAP'!$K$3:$K$501,'Plan rashoda za unos u SAP'!$C$3:$C$501,"=12",'Plan rashoda za unos u SAP'!$N$3:$N$501,"=37")+SUMIFS('ANALITIKA EU PROJEKATA'!$I$3:$I$34,'ANALITIKA EU PROJEKATA'!$A$3:$A$34,"=12",'ANALITIKA EU PROJEKATA'!$Q$3:$Q$34,"=37")</f>
        <v>0</v>
      </c>
      <c r="G98" s="138">
        <f>SUMIFS('Plan rashoda za unos u SAP'!$K$3:$K$501,'Plan rashoda za unos u SAP'!$C$3:$C$501,"=31",'Plan rashoda za unos u SAP'!$N$3:$N$501,"=37")+SUMIFS('ANALITIKA EU PROJEKATA'!$I$3:$I$34,'ANALITIKA EU PROJEKATA'!$A$3:$A$34,"=31",'ANALITIKA EU PROJEKATA'!$Q$3:$Q$34,"=37")</f>
        <v>0</v>
      </c>
      <c r="H98" s="138">
        <f>SUMIFS('Plan rashoda za unos u SAP'!$K$3:$K$501,'Plan rashoda za unos u SAP'!$C$3:$C$501,"=41",'Plan rashoda za unos u SAP'!$N$3:$N$501,"=37")+SUMIFS('ANALITIKA EU PROJEKATA'!$I$3:$I$34,'ANALITIKA EU PROJEKATA'!$A$3:$A$34,"=41",'ANALITIKA EU PROJEKATA'!$Q$3:$Q$34,"=37")</f>
        <v>0</v>
      </c>
      <c r="I98" s="138">
        <f>SUMIFS('Plan rashoda za unos u SAP'!$K$3:$K$501,'Plan rashoda za unos u SAP'!$C$3:$C$501,"=43",'Plan rashoda za unos u SAP'!$N$3:$N$501,"=37")+SUMIFS('ANALITIKA EU PROJEKATA'!$I$3:$I$34,'ANALITIKA EU PROJEKATA'!$A$3:$A$34,"=43",'ANALITIKA EU PROJEKATA'!$Q$3:$Q$34,"=37")</f>
        <v>0</v>
      </c>
      <c r="J98" s="138">
        <f>SUMIFS('Plan rashoda za unos u SAP'!$K$3:$K$501,'Plan rashoda za unos u SAP'!$C$3:$C$501,"=51",'Plan rashoda za unos u SAP'!$N$3:$N$501,"=37")+SUMIFS('ANALITIKA EU PROJEKATA'!$I$3:$I$34,'ANALITIKA EU PROJEKATA'!$A$3:$A$34,"=51",'ANALITIKA EU PROJEKATA'!$Q$3:$Q$34,"=37")</f>
        <v>0</v>
      </c>
      <c r="K98" s="138">
        <f>SUMIFS('Plan rashoda za unos u SAP'!$K$3:$K$501,'Plan rashoda za unos u SAP'!$C$3:$C$501,"=52",'Plan rashoda za unos u SAP'!$N$3:$N$501,"=37")+SUMIFS('ANALITIKA EU PROJEKATA'!$I$3:$I$34,'ANALITIKA EU PROJEKATA'!$A$3:$A$34,"=52",'ANALITIKA EU PROJEKATA'!$Q$3:$Q$34,"=37")</f>
        <v>0</v>
      </c>
      <c r="L98" s="138">
        <f>SUMIFS('Plan rashoda za unos u SAP'!$K$3:$K$501,'Plan rashoda za unos u SAP'!$C$3:$C$501,"=552",'Plan rashoda za unos u SAP'!$N$3:$N$501,"=37")+SUMIFS('ANALITIKA EU PROJEKATA'!$I$3:$I$34,'ANALITIKA EU PROJEKATA'!$A$3:$A$34,"=552",'ANALITIKA EU PROJEKATA'!$Q$3:$Q$34,"=37")</f>
        <v>0</v>
      </c>
      <c r="M98" s="138">
        <f>SUMIFS('Plan rashoda za unos u SAP'!$K$3:$K$501,'Plan rashoda za unos u SAP'!$C$3:$C$501,"=559",'Plan rashoda za unos u SAP'!$N$3:$N$501,"=37")+SUMIFS('ANALITIKA EU PROJEKATA'!$I$3:$I$34,'ANALITIKA EU PROJEKATA'!$A$3:$A$34,"=559",'ANALITIKA EU PROJEKATA'!$Q$3:$Q$34,"=37")</f>
        <v>0</v>
      </c>
      <c r="N98" s="138">
        <f>SUMIFS('Plan rashoda za unos u SAP'!$K$3:$K$501,'Plan rashoda za unos u SAP'!$C$3:$C$501,"=561",'Plan rashoda za unos u SAP'!$N$3:$N$501,"=37")+SUMIFS('ANALITIKA EU PROJEKATA'!$I$3:$I$34,'ANALITIKA EU PROJEKATA'!$A$3:$A$34,"=561",'ANALITIKA EU PROJEKATA'!$Q$3:$Q$34,"=37")</f>
        <v>0</v>
      </c>
      <c r="O98" s="138">
        <f>SUMIFS('Plan rashoda za unos u SAP'!$K$3:$K$501,'Plan rashoda za unos u SAP'!$C$3:$C$501,"=563",'Plan rashoda za unos u SAP'!$N$3:$N$501,"=37")+SUMIFS('ANALITIKA EU PROJEKATA'!$I$3:$I$34,'ANALITIKA EU PROJEKATA'!$A$3:$A$34,"=563",'ANALITIKA EU PROJEKATA'!$Q$3:$Q$34,"=37")</f>
        <v>0</v>
      </c>
      <c r="P98" s="138">
        <f>SUMIFS('Plan rashoda za unos u SAP'!$K$3:$K$501,'Plan rashoda za unos u SAP'!$C$3:$C$501,"=573",'Plan rashoda za unos u SAP'!$N$3:$N$501,"=37")+SUMIFS('ANALITIKA EU PROJEKATA'!$I$3:$I$34,'ANALITIKA EU PROJEKATA'!$A$3:$A$34,"=573",'ANALITIKA EU PROJEKATA'!$Q$3:$Q$34,"=37")</f>
        <v>0</v>
      </c>
      <c r="Q98" s="138">
        <f>SUMIFS('Plan rashoda za unos u SAP'!$K$3:$K$501,'Plan rashoda za unos u SAP'!$C$3:$C$501,"=575",'Plan rashoda za unos u SAP'!$N$3:$N$501,"=37")+SUMIFS('ANALITIKA EU PROJEKATA'!$I$3:$I$34,'ANALITIKA EU PROJEKATA'!$A$3:$A$34,"=575",'ANALITIKA EU PROJEKATA'!$Q$3:$Q$34,"=37")</f>
        <v>0</v>
      </c>
      <c r="R98" s="138">
        <f>SUMIFS('Plan rashoda za unos u SAP'!$K$3:$K$501,'Plan rashoda za unos u SAP'!$C$3:$C$501,"=576",'Plan rashoda za unos u SAP'!$N$3:$N$501,"=37")+SUMIFS('ANALITIKA EU PROJEKATA'!$I$3:$I$34,'ANALITIKA EU PROJEKATA'!$A$3:$A$34,"=576",'ANALITIKA EU PROJEKATA'!$Q$3:$Q$34,"=37")</f>
        <v>0</v>
      </c>
      <c r="S98" s="138">
        <f>SUMIFS('Plan rashoda za unos u SAP'!$K$3:$K$501,'Plan rashoda za unos u SAP'!$C$3:$C$501,"=581",'Plan rashoda za unos u SAP'!$N$3:$N$501,"=37")+SUMIFS('ANALITIKA EU PROJEKATA'!$I$3:$I$34,'ANALITIKA EU PROJEKATA'!$A$3:$A$34,"=581",'ANALITIKA EU PROJEKATA'!$Q$3:$Q$34,"=37")</f>
        <v>0</v>
      </c>
      <c r="T98" s="138">
        <f>SUMIFS('Plan rashoda za unos u SAP'!$K$3:$K$501,'Plan rashoda za unos u SAP'!$C$3:$C$501,"=61",'Plan rashoda za unos u SAP'!$N$3:$N$501,"=37")+SUMIFS('ANALITIKA EU PROJEKATA'!$I$3:$I$34,'ANALITIKA EU PROJEKATA'!$A$3:$A$34,"=61",'ANALITIKA EU PROJEKATA'!$Q$3:$Q$34,"=37")</f>
        <v>0</v>
      </c>
      <c r="U98" s="138">
        <f>SUMIFS('Plan rashoda za unos u SAP'!$K$3:$K$501,'Plan rashoda za unos u SAP'!$C$3:$C$501,"=63",'Plan rashoda za unos u SAP'!$N$3:$N$501,"=37")+SUMIFS('ANALITIKA EU PROJEKATA'!$I$3:$I$34,'ANALITIKA EU PROJEKATA'!$A$3:$A$34,"=63",'ANALITIKA EU PROJEKATA'!$Q$3:$Q$34,"=37")</f>
        <v>0</v>
      </c>
      <c r="V98" s="138">
        <f>SUMIFS('Plan rashoda za unos u SAP'!$K$3:$K$501,'Plan rashoda za unos u SAP'!$C$3:$C$501,"=71",'Plan rashoda za unos u SAP'!$N$3:$N$501,"=37")+SUMIFS('ANALITIKA EU PROJEKATA'!$I$3:$I$34,'ANALITIKA EU PROJEKATA'!$A$3:$A$34,"=71",'ANALITIKA EU PROJEKATA'!$Q$3:$Q$34,"=37")</f>
        <v>0</v>
      </c>
      <c r="W98" s="138">
        <f>SUMIFS('Plan rashoda za unos u SAP'!$K$3:$K$501,'Plan rashoda za unos u SAP'!$C$3:$C$501,"=81",'Plan rashoda za unos u SAP'!$N$3:$N$501,"=37")+SUMIFS('ANALITIKA EU PROJEKATA'!$I$3:$I$34,'ANALITIKA EU PROJEKATA'!$A$3:$A$34,"=81",'ANALITIKA EU PROJEKATA'!$Q$3:$Q$34,"=37")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PROJEKATA'!$I$3:$I$34,'ANALITIKA EU PROJEKATA'!$A$3:$A$34,"=11",'ANALITIKA EU PROJEKATA'!$Q$3:$Q$34,"=38")</f>
        <v>0</v>
      </c>
      <c r="F99" s="138">
        <f>SUMIFS('Plan rashoda za unos u SAP'!$K$3:$K$501,'Plan rashoda za unos u SAP'!$C$3:$C$501,"=12",'Plan rashoda za unos u SAP'!$N$3:$N$501,"=38")+SUMIFS('ANALITIKA EU PROJEKATA'!$I$3:$I$34,'ANALITIKA EU PROJEKATA'!$A$3:$A$34,"=12",'ANALITIKA EU PROJEKATA'!$Q$3:$Q$34,"=38")</f>
        <v>0</v>
      </c>
      <c r="G99" s="138">
        <f>SUMIFS('Plan rashoda za unos u SAP'!$K$3:$K$501,'Plan rashoda za unos u SAP'!$C$3:$C$501,"=31",'Plan rashoda za unos u SAP'!$N$3:$N$501,"=38")+SUMIFS('ANALITIKA EU PROJEKATA'!$I$3:$I$34,'ANALITIKA EU PROJEKATA'!$A$3:$A$34,"=31",'ANALITIKA EU PROJEKATA'!$Q$3:$Q$34,"=38")</f>
        <v>0</v>
      </c>
      <c r="H99" s="138">
        <f>SUMIFS('Plan rashoda za unos u SAP'!$K$3:$K$501,'Plan rashoda za unos u SAP'!$C$3:$C$501,"=41",'Plan rashoda za unos u SAP'!$N$3:$N$501,"=38")+SUMIFS('ANALITIKA EU PROJEKATA'!$I$3:$I$34,'ANALITIKA EU PROJEKATA'!$A$3:$A$34,"=41",'ANALITIKA EU PROJEKATA'!$Q$3:$Q$34,"=38")</f>
        <v>0</v>
      </c>
      <c r="I99" s="138">
        <f>SUMIFS('Plan rashoda za unos u SAP'!$K$3:$K$501,'Plan rashoda za unos u SAP'!$C$3:$C$501,"=43",'Plan rashoda za unos u SAP'!$N$3:$N$501,"=38")+SUMIFS('ANALITIKA EU PROJEKATA'!$I$3:$I$34,'ANALITIKA EU PROJEKATA'!$A$3:$A$34,"=43",'ANALITIKA EU PROJEKATA'!$Q$3:$Q$34,"=38")</f>
        <v>0</v>
      </c>
      <c r="J99" s="138">
        <f>SUMIFS('Plan rashoda za unos u SAP'!$K$3:$K$501,'Plan rashoda za unos u SAP'!$C$3:$C$501,"=51",'Plan rashoda za unos u SAP'!$N$3:$N$501,"=38")+SUMIFS('ANALITIKA EU PROJEKATA'!$I$3:$I$34,'ANALITIKA EU PROJEKATA'!$A$3:$A$34,"=51",'ANALITIKA EU PROJEKATA'!$Q$3:$Q$34,"=38")</f>
        <v>0</v>
      </c>
      <c r="K99" s="138">
        <f>SUMIFS('Plan rashoda za unos u SAP'!$K$3:$K$501,'Plan rashoda za unos u SAP'!$C$3:$C$501,"=52",'Plan rashoda za unos u SAP'!$N$3:$N$501,"=38")+SUMIFS('ANALITIKA EU PROJEKATA'!$I$3:$I$34,'ANALITIKA EU PROJEKATA'!$A$3:$A$34,"=52",'ANALITIKA EU PROJEKATA'!$Q$3:$Q$34,"=38")</f>
        <v>0</v>
      </c>
      <c r="L99" s="138">
        <f>SUMIFS('Plan rashoda za unos u SAP'!$K$3:$K$501,'Plan rashoda za unos u SAP'!$C$3:$C$501,"=552",'Plan rashoda za unos u SAP'!$N$3:$N$501,"=38")+SUMIFS('ANALITIKA EU PROJEKATA'!$I$3:$I$34,'ANALITIKA EU PROJEKATA'!$A$3:$A$34,"=552",'ANALITIKA EU PROJEKATA'!$Q$3:$Q$34,"=38")</f>
        <v>0</v>
      </c>
      <c r="M99" s="138">
        <f>SUMIFS('Plan rashoda za unos u SAP'!$K$3:$K$501,'Plan rashoda za unos u SAP'!$C$3:$C$501,"=559",'Plan rashoda za unos u SAP'!$N$3:$N$501,"=38")+SUMIFS('ANALITIKA EU PROJEKATA'!$I$3:$I$34,'ANALITIKA EU PROJEKATA'!$A$3:$A$34,"=559",'ANALITIKA EU PROJEKATA'!$Q$3:$Q$34,"=38")</f>
        <v>0</v>
      </c>
      <c r="N99" s="138">
        <f>SUMIFS('Plan rashoda za unos u SAP'!$K$3:$K$501,'Plan rashoda za unos u SAP'!$C$3:$C$501,"=561",'Plan rashoda za unos u SAP'!$N$3:$N$501,"=38")+SUMIFS('ANALITIKA EU PROJEKATA'!$I$3:$I$34,'ANALITIKA EU PROJEKATA'!$A$3:$A$34,"=561",'ANALITIKA EU PROJEKATA'!$Q$3:$Q$34,"=38")</f>
        <v>0</v>
      </c>
      <c r="O99" s="138">
        <f>SUMIFS('Plan rashoda za unos u SAP'!$K$3:$K$501,'Plan rashoda za unos u SAP'!$C$3:$C$501,"=563",'Plan rashoda za unos u SAP'!$N$3:$N$501,"=38")+SUMIFS('ANALITIKA EU PROJEKATA'!$I$3:$I$34,'ANALITIKA EU PROJEKATA'!$A$3:$A$34,"=563",'ANALITIKA EU PROJEKATA'!$Q$3:$Q$34,"=38")</f>
        <v>0</v>
      </c>
      <c r="P99" s="138">
        <f>SUMIFS('Plan rashoda za unos u SAP'!$K$3:$K$501,'Plan rashoda za unos u SAP'!$C$3:$C$501,"=573",'Plan rashoda za unos u SAP'!$N$3:$N$501,"=38")+SUMIFS('ANALITIKA EU PROJEKATA'!$I$3:$I$34,'ANALITIKA EU PROJEKATA'!$A$3:$A$34,"=573",'ANALITIKA EU PROJEKATA'!$Q$3:$Q$34,"=38")</f>
        <v>0</v>
      </c>
      <c r="Q99" s="138">
        <f>SUMIFS('Plan rashoda za unos u SAP'!$K$3:$K$501,'Plan rashoda za unos u SAP'!$C$3:$C$501,"=575",'Plan rashoda za unos u SAP'!$N$3:$N$501,"=38")+SUMIFS('ANALITIKA EU PROJEKATA'!$I$3:$I$34,'ANALITIKA EU PROJEKATA'!$A$3:$A$34,"=575",'ANALITIKA EU PROJEKATA'!$Q$3:$Q$34,"=38")</f>
        <v>0</v>
      </c>
      <c r="R99" s="138">
        <f>SUMIFS('Plan rashoda za unos u SAP'!$K$3:$K$501,'Plan rashoda za unos u SAP'!$C$3:$C$501,"=576",'Plan rashoda za unos u SAP'!$N$3:$N$501,"=38")+SUMIFS('ANALITIKA EU PROJEKATA'!$I$3:$I$34,'ANALITIKA EU PROJEKATA'!$A$3:$A$34,"=576",'ANALITIKA EU PROJEKATA'!$Q$3:$Q$34,"=38")</f>
        <v>0</v>
      </c>
      <c r="S99" s="138">
        <f>SUMIFS('Plan rashoda za unos u SAP'!$K$3:$K$501,'Plan rashoda za unos u SAP'!$C$3:$C$501,"=581",'Plan rashoda za unos u SAP'!$N$3:$N$501,"=38")+SUMIFS('ANALITIKA EU PROJEKATA'!$I$3:$I$34,'ANALITIKA EU PROJEKATA'!$A$3:$A$34,"=581",'ANALITIKA EU PROJEKATA'!$Q$3:$Q$34,"=38")</f>
        <v>0</v>
      </c>
      <c r="T99" s="138">
        <f>SUMIFS('Plan rashoda za unos u SAP'!$K$3:$K$501,'Plan rashoda za unos u SAP'!$C$3:$C$501,"=61",'Plan rashoda za unos u SAP'!$N$3:$N$501,"=38")+SUMIFS('ANALITIKA EU PROJEKATA'!$I$3:$I$34,'ANALITIKA EU PROJEKATA'!$A$3:$A$34,"=61",'ANALITIKA EU PROJEKATA'!$Q$3:$Q$34,"=38")</f>
        <v>0</v>
      </c>
      <c r="U99" s="138">
        <f>SUMIFS('Plan rashoda za unos u SAP'!$K$3:$K$501,'Plan rashoda za unos u SAP'!$C$3:$C$501,"=63",'Plan rashoda za unos u SAP'!$N$3:$N$501,"=38")+SUMIFS('ANALITIKA EU PROJEKATA'!$I$3:$I$34,'ANALITIKA EU PROJEKATA'!$A$3:$A$34,"=63",'ANALITIKA EU PROJEKATA'!$Q$3:$Q$34,"=38")</f>
        <v>0</v>
      </c>
      <c r="V99" s="138">
        <f>SUMIFS('Plan rashoda za unos u SAP'!$K$3:$K$501,'Plan rashoda za unos u SAP'!$C$3:$C$501,"=71",'Plan rashoda za unos u SAP'!$N$3:$N$501,"=38")+SUMIFS('ANALITIKA EU PROJEKATA'!$I$3:$I$34,'ANALITIKA EU PROJEKATA'!$A$3:$A$34,"=71",'ANALITIKA EU PROJEKATA'!$Q$3:$Q$34,"=38")</f>
        <v>0</v>
      </c>
      <c r="W99" s="138">
        <f>SUMIFS('Plan rashoda za unos u SAP'!$K$3:$K$501,'Plan rashoda za unos u SAP'!$C$3:$C$501,"=81",'Plan rashoda za unos u SAP'!$N$3:$N$501,"=38")+SUMIFS('ANALITIKA EU PROJEKATA'!$I$3:$I$34,'ANALITIKA EU PROJEKATA'!$A$3:$A$34,"=81",'ANALITIKA EU PROJEKATA'!$Q$3:$Q$34,"=38")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765000</v>
      </c>
      <c r="E100" s="131">
        <f t="shared" ref="E100:G100" si="33">SUM(E101:E105)</f>
        <v>0</v>
      </c>
      <c r="F100" s="131">
        <f t="shared" si="33"/>
        <v>0</v>
      </c>
      <c r="G100" s="131">
        <f t="shared" si="33"/>
        <v>50000</v>
      </c>
      <c r="H100" s="131">
        <f>SUM(H101:H105)</f>
        <v>0</v>
      </c>
      <c r="I100" s="131">
        <f t="shared" ref="I100:K100" si="34">SUM(I101:I105)</f>
        <v>650000</v>
      </c>
      <c r="J100" s="131">
        <f t="shared" si="34"/>
        <v>0</v>
      </c>
      <c r="K100" s="131">
        <f t="shared" si="34"/>
        <v>65000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PROJEKATA'!$I$3:$I$34,'ANALITIKA EU PROJEKATA'!$A$3:$A$34,"=11",'ANALITIKA EU PROJEKATA'!$Q$3:$Q$34,"=41")</f>
        <v>0</v>
      </c>
      <c r="F101" s="138">
        <f>SUMIFS('Plan rashoda za unos u SAP'!$K$3:$K$501,'Plan rashoda za unos u SAP'!$C$3:$C$501,"=12",'Plan rashoda za unos u SAP'!$N$3:$N$501,"=41")+SUMIFS('ANALITIKA EU PROJEKATA'!$I$3:$I$34,'ANALITIKA EU PROJEKATA'!$A$3:$A$34,"=12",'ANALITIKA EU PROJEKATA'!$Q$3:$Q$34,"=41")</f>
        <v>0</v>
      </c>
      <c r="G101" s="138">
        <f>SUMIFS('Plan rashoda za unos u SAP'!$K$3:$K$501,'Plan rashoda za unos u SAP'!$C$3:$C$501,"=31",'Plan rashoda za unos u SAP'!$N$3:$N$501,"=41")+SUMIFS('ANALITIKA EU PROJEKATA'!$I$3:$I$34,'ANALITIKA EU PROJEKATA'!$A$3:$A$34,"=31",'ANALITIKA EU PROJEKATA'!$Q$3:$Q$34,"=41")</f>
        <v>0</v>
      </c>
      <c r="H101" s="138">
        <f>SUMIFS('Plan rashoda za unos u SAP'!$K$3:$K$501,'Plan rashoda za unos u SAP'!$C$3:$C$501,"=41",'Plan rashoda za unos u SAP'!$N$3:$N$501,"=41")+SUMIFS('ANALITIKA EU PROJEKATA'!$I$3:$I$34,'ANALITIKA EU PROJEKATA'!$A$3:$A$34,"=41",'ANALITIKA EU PROJEKATA'!$Q$3:$Q$34,"=41")</f>
        <v>0</v>
      </c>
      <c r="I101" s="138">
        <f>SUMIFS('Plan rashoda za unos u SAP'!$K$3:$K$501,'Plan rashoda za unos u SAP'!$C$3:$C$501,"=43",'Plan rashoda za unos u SAP'!$N$3:$N$501,"=41")+SUMIFS('ANALITIKA EU PROJEKATA'!$I$3:$I$34,'ANALITIKA EU PROJEKATA'!$A$3:$A$34,"=43",'ANALITIKA EU PROJEKATA'!$Q$3:$Q$34,"=41")</f>
        <v>0</v>
      </c>
      <c r="J101" s="138">
        <f>SUMIFS('Plan rashoda za unos u SAP'!$K$3:$K$501,'Plan rashoda za unos u SAP'!$C$3:$C$501,"=51",'Plan rashoda za unos u SAP'!$N$3:$N$501,"=41")+SUMIFS('ANALITIKA EU PROJEKATA'!$I$3:$I$34,'ANALITIKA EU PROJEKATA'!$A$3:$A$34,"=51",'ANALITIKA EU PROJEKATA'!$Q$3:$Q$34,"=41")</f>
        <v>0</v>
      </c>
      <c r="K101" s="138">
        <f>SUMIFS('Plan rashoda za unos u SAP'!$K$3:$K$501,'Plan rashoda za unos u SAP'!$C$3:$C$501,"=52",'Plan rashoda za unos u SAP'!$N$3:$N$501,"=41")+SUMIFS('ANALITIKA EU PROJEKATA'!$I$3:$I$34,'ANALITIKA EU PROJEKATA'!$A$3:$A$34,"=52",'ANALITIKA EU PROJEKATA'!$Q$3:$Q$34,"=41")</f>
        <v>0</v>
      </c>
      <c r="L101" s="138">
        <f>SUMIFS('Plan rashoda za unos u SAP'!$K$3:$K$501,'Plan rashoda za unos u SAP'!$C$3:$C$501,"=552",'Plan rashoda za unos u SAP'!$N$3:$N$501,"=41")+SUMIFS('ANALITIKA EU PROJEKATA'!$I$3:$I$34,'ANALITIKA EU PROJEKATA'!$A$3:$A$34,"=552",'ANALITIKA EU PROJEKATA'!$Q$3:$Q$34,"=41")</f>
        <v>0</v>
      </c>
      <c r="M101" s="138">
        <f>SUMIFS('Plan rashoda za unos u SAP'!$K$3:$K$501,'Plan rashoda za unos u SAP'!$C$3:$C$501,"=559",'Plan rashoda za unos u SAP'!$N$3:$N$501,"=41")+SUMIFS('ANALITIKA EU PROJEKATA'!$I$3:$I$34,'ANALITIKA EU PROJEKATA'!$A$3:$A$34,"=559",'ANALITIKA EU PROJEKATA'!$Q$3:$Q$34,"=41")</f>
        <v>0</v>
      </c>
      <c r="N101" s="138">
        <f>SUMIFS('Plan rashoda za unos u SAP'!$K$3:$K$501,'Plan rashoda za unos u SAP'!$C$3:$C$501,"=561",'Plan rashoda za unos u SAP'!$N$3:$N$501,"=41")+SUMIFS('ANALITIKA EU PROJEKATA'!$I$3:$I$34,'ANALITIKA EU PROJEKATA'!$A$3:$A$34,"=561",'ANALITIKA EU PROJEKATA'!$Q$3:$Q$34,"=41")</f>
        <v>0</v>
      </c>
      <c r="O101" s="138">
        <f>SUMIFS('Plan rashoda za unos u SAP'!$K$3:$K$501,'Plan rashoda za unos u SAP'!$C$3:$C$501,"=563",'Plan rashoda za unos u SAP'!$N$3:$N$501,"=41")+SUMIFS('ANALITIKA EU PROJEKATA'!$I$3:$I$34,'ANALITIKA EU PROJEKATA'!$A$3:$A$34,"=563",'ANALITIKA EU PROJEKATA'!$Q$3:$Q$34,"=41")</f>
        <v>0</v>
      </c>
      <c r="P101" s="138">
        <f>SUMIFS('Plan rashoda za unos u SAP'!$K$3:$K$501,'Plan rashoda za unos u SAP'!$C$3:$C$501,"=573",'Plan rashoda za unos u SAP'!$N$3:$N$501,"=41")+SUMIFS('ANALITIKA EU PROJEKATA'!$I$3:$I$34,'ANALITIKA EU PROJEKATA'!$A$3:$A$34,"=573",'ANALITIKA EU PROJEKATA'!$Q$3:$Q$34,"=41")</f>
        <v>0</v>
      </c>
      <c r="Q101" s="138">
        <f>SUMIFS('Plan rashoda za unos u SAP'!$K$3:$K$501,'Plan rashoda za unos u SAP'!$C$3:$C$501,"=575",'Plan rashoda za unos u SAP'!$N$3:$N$501,"=41")+SUMIFS('ANALITIKA EU PROJEKATA'!$I$3:$I$34,'ANALITIKA EU PROJEKATA'!$A$3:$A$34,"=575",'ANALITIKA EU PROJEKATA'!$Q$3:$Q$34,"=41")</f>
        <v>0</v>
      </c>
      <c r="R101" s="138">
        <f>SUMIFS('Plan rashoda za unos u SAP'!$K$3:$K$501,'Plan rashoda za unos u SAP'!$C$3:$C$501,"=576",'Plan rashoda za unos u SAP'!$N$3:$N$501,"=41")+SUMIFS('ANALITIKA EU PROJEKATA'!$I$3:$I$34,'ANALITIKA EU PROJEKATA'!$A$3:$A$34,"=576",'ANALITIKA EU PROJEKATA'!$Q$3:$Q$34,"=41")</f>
        <v>0</v>
      </c>
      <c r="S101" s="138">
        <f>SUMIFS('Plan rashoda za unos u SAP'!$K$3:$K$501,'Plan rashoda za unos u SAP'!$C$3:$C$501,"=581",'Plan rashoda za unos u SAP'!$N$3:$N$501,"=41")+SUMIFS('ANALITIKA EU PROJEKATA'!$I$3:$I$34,'ANALITIKA EU PROJEKATA'!$A$3:$A$34,"=581",'ANALITIKA EU PROJEKATA'!$Q$3:$Q$34,"=41")</f>
        <v>0</v>
      </c>
      <c r="T101" s="138">
        <f>SUMIFS('Plan rashoda za unos u SAP'!$K$3:$K$501,'Plan rashoda za unos u SAP'!$C$3:$C$501,"=61",'Plan rashoda za unos u SAP'!$N$3:$N$501,"=41")+SUMIFS('ANALITIKA EU PROJEKATA'!$I$3:$I$34,'ANALITIKA EU PROJEKATA'!$A$3:$A$34,"=61",'ANALITIKA EU PROJEKATA'!$Q$3:$Q$34,"=41")</f>
        <v>0</v>
      </c>
      <c r="U101" s="138">
        <f>SUMIFS('Plan rashoda za unos u SAP'!$K$3:$K$501,'Plan rashoda za unos u SAP'!$C$3:$C$501,"=63",'Plan rashoda za unos u SAP'!$N$3:$N$501,"=41")+SUMIFS('ANALITIKA EU PROJEKATA'!$I$3:$I$34,'ANALITIKA EU PROJEKATA'!$A$3:$A$34,"=63",'ANALITIKA EU PROJEKATA'!$Q$3:$Q$34,"=41")</f>
        <v>0</v>
      </c>
      <c r="V101" s="138">
        <f>SUMIFS('Plan rashoda za unos u SAP'!$K$3:$K$501,'Plan rashoda za unos u SAP'!$C$3:$C$501,"=71",'Plan rashoda za unos u SAP'!$N$3:$N$501,"=41")+SUMIFS('ANALITIKA EU PROJEKATA'!$I$3:$I$34,'ANALITIKA EU PROJEKATA'!$A$3:$A$34,"=71",'ANALITIKA EU PROJEKATA'!$Q$3:$Q$34,"=41")</f>
        <v>0</v>
      </c>
      <c r="W101" s="138">
        <f>SUMIFS('Plan rashoda za unos u SAP'!$K$3:$K$501,'Plan rashoda za unos u SAP'!$C$3:$C$501,"=81",'Plan rashoda za unos u SAP'!$N$3:$N$501,"=41")+SUMIFS('ANALITIKA EU PROJEKATA'!$I$3:$I$34,'ANALITIKA EU PROJEKATA'!$A$3:$A$34,"=81",'ANALITIKA EU PROJEKATA'!$Q$3:$Q$34,"=41")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765000</v>
      </c>
      <c r="E102" s="138">
        <f>SUMIFS('Plan rashoda za unos u SAP'!$K$3:$K$501,'Plan rashoda za unos u SAP'!$C$3:$C$501,"=11",'Plan rashoda za unos u SAP'!$N$3:$N$501,"=42")+SUMIFS('ANALITIKA EU PROJEKATA'!$I$3:$I$34,'ANALITIKA EU PROJEKATA'!$A$3:$A$34,"=11",'ANALITIKA EU PROJEKATA'!$Q$3:$Q$34,"=42")</f>
        <v>0</v>
      </c>
      <c r="F102" s="138">
        <f>SUMIFS('Plan rashoda za unos u SAP'!$K$3:$K$501,'Plan rashoda za unos u SAP'!$C$3:$C$501,"=12",'Plan rashoda za unos u SAP'!$N$3:$N$501,"=42")+SUMIFS('ANALITIKA EU PROJEKATA'!$I$3:$I$34,'ANALITIKA EU PROJEKATA'!$A$3:$A$34,"=12",'ANALITIKA EU PROJEKATA'!$Q$3:$Q$34,"=42")</f>
        <v>0</v>
      </c>
      <c r="G102" s="138">
        <f>SUMIFS('Plan rashoda za unos u SAP'!$K$3:$K$501,'Plan rashoda za unos u SAP'!$C$3:$C$501,"=31",'Plan rashoda za unos u SAP'!$N$3:$N$501,"=42")+SUMIFS('ANALITIKA EU PROJEKATA'!$I$3:$I$34,'ANALITIKA EU PROJEKATA'!$A$3:$A$34,"=31",'ANALITIKA EU PROJEKATA'!$Q$3:$Q$34,"=42")</f>
        <v>50000</v>
      </c>
      <c r="H102" s="138">
        <f>SUMIFS('Plan rashoda za unos u SAP'!$K$3:$K$501,'Plan rashoda za unos u SAP'!$C$3:$C$501,"=41",'Plan rashoda za unos u SAP'!$N$3:$N$501,"=42")+SUMIFS('ANALITIKA EU PROJEKATA'!$I$3:$I$34,'ANALITIKA EU PROJEKATA'!$A$3:$A$34,"=41",'ANALITIKA EU PROJEKATA'!$Q$3:$Q$34,"=42")</f>
        <v>0</v>
      </c>
      <c r="I102" s="138">
        <f>SUMIFS('Plan rashoda za unos u SAP'!$K$3:$K$501,'Plan rashoda za unos u SAP'!$C$3:$C$501,"=43",'Plan rashoda za unos u SAP'!$N$3:$N$501,"=42")+SUMIFS('ANALITIKA EU PROJEKATA'!$I$3:$I$34,'ANALITIKA EU PROJEKATA'!$A$3:$A$34,"=43",'ANALITIKA EU PROJEKATA'!$Q$3:$Q$34,"=42")</f>
        <v>650000</v>
      </c>
      <c r="J102" s="138">
        <f>SUMIFS('Plan rashoda za unos u SAP'!$K$3:$K$501,'Plan rashoda za unos u SAP'!$C$3:$C$501,"=51",'Plan rashoda za unos u SAP'!$N$3:$N$501,"=42")+SUMIFS('ANALITIKA EU PROJEKATA'!$I$3:$I$34,'ANALITIKA EU PROJEKATA'!$A$3:$A$34,"=51",'ANALITIKA EU PROJEKATA'!$Q$3:$Q$34,"=42")</f>
        <v>0</v>
      </c>
      <c r="K102" s="138">
        <f>SUMIFS('Plan rashoda za unos u SAP'!$K$3:$K$501,'Plan rashoda za unos u SAP'!$C$3:$C$501,"=52",'Plan rashoda za unos u SAP'!$N$3:$N$501,"=42")+SUMIFS('ANALITIKA EU PROJEKATA'!$I$3:$I$34,'ANALITIKA EU PROJEKATA'!$A$3:$A$34,"=52",'ANALITIKA EU PROJEKATA'!$Q$3:$Q$34,"=42")</f>
        <v>65000</v>
      </c>
      <c r="L102" s="138">
        <f>SUMIFS('Plan rashoda za unos u SAP'!$K$3:$K$501,'Plan rashoda za unos u SAP'!$C$3:$C$501,"=552",'Plan rashoda za unos u SAP'!$N$3:$N$501,"=42")+SUMIFS('ANALITIKA EU PROJEKATA'!$I$3:$I$34,'ANALITIKA EU PROJEKATA'!$A$3:$A$34,"=552",'ANALITIKA EU PROJEKATA'!$Q$3:$Q$34,"=42")</f>
        <v>0</v>
      </c>
      <c r="M102" s="138">
        <f>SUMIFS('Plan rashoda za unos u SAP'!$K$3:$K$501,'Plan rashoda za unos u SAP'!$C$3:$C$501,"=559",'Plan rashoda za unos u SAP'!$N$3:$N$501,"=42")+SUMIFS('ANALITIKA EU PROJEKATA'!$I$3:$I$34,'ANALITIKA EU PROJEKATA'!$A$3:$A$34,"=559",'ANALITIKA EU PROJEKATA'!$Q$3:$Q$34,"=42")</f>
        <v>0</v>
      </c>
      <c r="N102" s="138">
        <f>SUMIFS('Plan rashoda za unos u SAP'!$K$3:$K$501,'Plan rashoda za unos u SAP'!$C$3:$C$501,"=561",'Plan rashoda za unos u SAP'!$N$3:$N$501,"=42")+SUMIFS('ANALITIKA EU PROJEKATA'!$I$3:$I$34,'ANALITIKA EU PROJEKATA'!$A$3:$A$34,"=561",'ANALITIKA EU PROJEKATA'!$Q$3:$Q$34,"=42")</f>
        <v>0</v>
      </c>
      <c r="O102" s="138">
        <f>SUMIFS('Plan rashoda za unos u SAP'!$K$3:$K$501,'Plan rashoda za unos u SAP'!$C$3:$C$501,"=563",'Plan rashoda za unos u SAP'!$N$3:$N$501,"=42")+SUMIFS('ANALITIKA EU PROJEKATA'!$I$3:$I$34,'ANALITIKA EU PROJEKATA'!$A$3:$A$34,"=563",'ANALITIKA EU PROJEKATA'!$Q$3:$Q$34,"=42")</f>
        <v>0</v>
      </c>
      <c r="P102" s="138">
        <f>SUMIFS('Plan rashoda za unos u SAP'!$K$3:$K$501,'Plan rashoda za unos u SAP'!$C$3:$C$501,"=573",'Plan rashoda za unos u SAP'!$N$3:$N$501,"=42")+SUMIFS('ANALITIKA EU PROJEKATA'!$I$3:$I$34,'ANALITIKA EU PROJEKATA'!$A$3:$A$34,"=573",'ANALITIKA EU PROJEKATA'!$Q$3:$Q$34,"=42")</f>
        <v>0</v>
      </c>
      <c r="Q102" s="138">
        <f>SUMIFS('Plan rashoda za unos u SAP'!$K$3:$K$501,'Plan rashoda za unos u SAP'!$C$3:$C$501,"=575",'Plan rashoda za unos u SAP'!$N$3:$N$501,"=42")+SUMIFS('ANALITIKA EU PROJEKATA'!$I$3:$I$34,'ANALITIKA EU PROJEKATA'!$A$3:$A$34,"=575",'ANALITIKA EU PROJEKATA'!$Q$3:$Q$34,"=42")</f>
        <v>0</v>
      </c>
      <c r="R102" s="138">
        <f>SUMIFS('Plan rashoda za unos u SAP'!$K$3:$K$501,'Plan rashoda za unos u SAP'!$C$3:$C$501,"=576",'Plan rashoda za unos u SAP'!$N$3:$N$501,"=42")+SUMIFS('ANALITIKA EU PROJEKATA'!$I$3:$I$34,'ANALITIKA EU PROJEKATA'!$A$3:$A$34,"=576",'ANALITIKA EU PROJEKATA'!$Q$3:$Q$34,"=42")</f>
        <v>0</v>
      </c>
      <c r="S102" s="138">
        <f>SUMIFS('Plan rashoda za unos u SAP'!$K$3:$K$501,'Plan rashoda za unos u SAP'!$C$3:$C$501,"=581",'Plan rashoda za unos u SAP'!$N$3:$N$501,"=42")+SUMIFS('ANALITIKA EU PROJEKATA'!$I$3:$I$34,'ANALITIKA EU PROJEKATA'!$A$3:$A$34,"=581",'ANALITIKA EU PROJEKATA'!$Q$3:$Q$34,"=42")</f>
        <v>0</v>
      </c>
      <c r="T102" s="138">
        <f>SUMIFS('Plan rashoda za unos u SAP'!$K$3:$K$501,'Plan rashoda za unos u SAP'!$C$3:$C$501,"=61",'Plan rashoda za unos u SAP'!$N$3:$N$501,"=42")+SUMIFS('ANALITIKA EU PROJEKATA'!$I$3:$I$34,'ANALITIKA EU PROJEKATA'!$A$3:$A$34,"=61",'ANALITIKA EU PROJEKATA'!$Q$3:$Q$34,"=42")</f>
        <v>0</v>
      </c>
      <c r="U102" s="138">
        <f>SUMIFS('Plan rashoda za unos u SAP'!$K$3:$K$501,'Plan rashoda za unos u SAP'!$C$3:$C$501,"=63",'Plan rashoda za unos u SAP'!$N$3:$N$501,"=42")+SUMIFS('ANALITIKA EU PROJEKATA'!$I$3:$I$34,'ANALITIKA EU PROJEKATA'!$A$3:$A$34,"=63",'ANALITIKA EU PROJEKATA'!$Q$3:$Q$34,"=42")</f>
        <v>0</v>
      </c>
      <c r="V102" s="138">
        <f>SUMIFS('Plan rashoda za unos u SAP'!$K$3:$K$501,'Plan rashoda za unos u SAP'!$C$3:$C$501,"=71",'Plan rashoda za unos u SAP'!$N$3:$N$501,"=42")+SUMIFS('ANALITIKA EU PROJEKATA'!$I$3:$I$34,'ANALITIKA EU PROJEKATA'!$A$3:$A$34,"=71",'ANALITIKA EU PROJEKATA'!$Q$3:$Q$34,"=42")</f>
        <v>0</v>
      </c>
      <c r="W102" s="138">
        <f>SUMIFS('Plan rashoda za unos u SAP'!$K$3:$K$501,'Plan rashoda za unos u SAP'!$C$3:$C$501,"=81",'Plan rashoda za unos u SAP'!$N$3:$N$501,"=42")+SUMIFS('ANALITIKA EU PROJEKATA'!$I$3:$I$34,'ANALITIKA EU PROJEKATA'!$A$3:$A$34,"=81",'ANALITIKA EU PROJEKATA'!$Q$3:$Q$34,"=42")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PROJEKATA'!$I$3:$I$34,'ANALITIKA EU PROJEKATA'!$A$3:$A$34,"=11",'ANALITIKA EU PROJEKATA'!$Q$3:$Q$34,"=43")</f>
        <v>0</v>
      </c>
      <c r="F103" s="138">
        <f>SUMIFS('Plan rashoda za unos u SAP'!$K$3:$K$501,'Plan rashoda za unos u SAP'!$C$3:$C$501,"=12",'Plan rashoda za unos u SAP'!$N$3:$N$501,"=43")+SUMIFS('ANALITIKA EU PROJEKATA'!$I$3:$I$34,'ANALITIKA EU PROJEKATA'!$A$3:$A$34,"=12",'ANALITIKA EU PROJEKATA'!$Q$3:$Q$34,"=43")</f>
        <v>0</v>
      </c>
      <c r="G103" s="138">
        <f>SUMIFS('Plan rashoda za unos u SAP'!$K$3:$K$501,'Plan rashoda za unos u SAP'!$C$3:$C$501,"=31",'Plan rashoda za unos u SAP'!$N$3:$N$501,"=43")+SUMIFS('ANALITIKA EU PROJEKATA'!$I$3:$I$34,'ANALITIKA EU PROJEKATA'!$A$3:$A$34,"=31",'ANALITIKA EU PROJEKATA'!$Q$3:$Q$34,"=43")</f>
        <v>0</v>
      </c>
      <c r="H103" s="138">
        <f>SUMIFS('Plan rashoda za unos u SAP'!$K$3:$K$501,'Plan rashoda za unos u SAP'!$C$3:$C$501,"=41",'Plan rashoda za unos u SAP'!$N$3:$N$501,"=43")+SUMIFS('ANALITIKA EU PROJEKATA'!$I$3:$I$34,'ANALITIKA EU PROJEKATA'!$A$3:$A$34,"=41",'ANALITIKA EU PROJEKATA'!$Q$3:$Q$34,"=43")</f>
        <v>0</v>
      </c>
      <c r="I103" s="138">
        <f>SUMIFS('Plan rashoda za unos u SAP'!$K$3:$K$501,'Plan rashoda za unos u SAP'!$C$3:$C$501,"=43",'Plan rashoda za unos u SAP'!$N$3:$N$501,"=43")+SUMIFS('ANALITIKA EU PROJEKATA'!$I$3:$I$34,'ANALITIKA EU PROJEKATA'!$A$3:$A$34,"=43",'ANALITIKA EU PROJEKATA'!$Q$3:$Q$34,"=43")</f>
        <v>0</v>
      </c>
      <c r="J103" s="138">
        <f>SUMIFS('Plan rashoda za unos u SAP'!$K$3:$K$501,'Plan rashoda za unos u SAP'!$C$3:$C$501,"=51",'Plan rashoda za unos u SAP'!$N$3:$N$501,"=43")+SUMIFS('ANALITIKA EU PROJEKATA'!$I$3:$I$34,'ANALITIKA EU PROJEKATA'!$A$3:$A$34,"=51",'ANALITIKA EU PROJEKATA'!$Q$3:$Q$34,"=43")</f>
        <v>0</v>
      </c>
      <c r="K103" s="138">
        <f>SUMIFS('Plan rashoda za unos u SAP'!$K$3:$K$501,'Plan rashoda za unos u SAP'!$C$3:$C$501,"=52",'Plan rashoda za unos u SAP'!$N$3:$N$501,"=43")+SUMIFS('ANALITIKA EU PROJEKATA'!$I$3:$I$34,'ANALITIKA EU PROJEKATA'!$A$3:$A$34,"=52",'ANALITIKA EU PROJEKATA'!$Q$3:$Q$34,"=43")</f>
        <v>0</v>
      </c>
      <c r="L103" s="138">
        <f>SUMIFS('Plan rashoda za unos u SAP'!$K$3:$K$501,'Plan rashoda za unos u SAP'!$C$3:$C$501,"=552",'Plan rashoda za unos u SAP'!$N$3:$N$501,"=43")+SUMIFS('ANALITIKA EU PROJEKATA'!$I$3:$I$34,'ANALITIKA EU PROJEKATA'!$A$3:$A$34,"=552",'ANALITIKA EU PROJEKATA'!$Q$3:$Q$34,"=43")</f>
        <v>0</v>
      </c>
      <c r="M103" s="138">
        <f>SUMIFS('Plan rashoda za unos u SAP'!$K$3:$K$501,'Plan rashoda za unos u SAP'!$C$3:$C$501,"=559",'Plan rashoda za unos u SAP'!$N$3:$N$501,"=43")+SUMIFS('ANALITIKA EU PROJEKATA'!$I$3:$I$34,'ANALITIKA EU PROJEKATA'!$A$3:$A$34,"=559",'ANALITIKA EU PROJEKATA'!$Q$3:$Q$34,"=43")</f>
        <v>0</v>
      </c>
      <c r="N103" s="138">
        <f>SUMIFS('Plan rashoda za unos u SAP'!$K$3:$K$501,'Plan rashoda za unos u SAP'!$C$3:$C$501,"=561",'Plan rashoda za unos u SAP'!$N$3:$N$501,"=43")+SUMIFS('ANALITIKA EU PROJEKATA'!$I$3:$I$34,'ANALITIKA EU PROJEKATA'!$A$3:$A$34,"=561",'ANALITIKA EU PROJEKATA'!$Q$3:$Q$34,"=43")</f>
        <v>0</v>
      </c>
      <c r="O103" s="138">
        <f>SUMIFS('Plan rashoda za unos u SAP'!$K$3:$K$501,'Plan rashoda za unos u SAP'!$C$3:$C$501,"=563",'Plan rashoda za unos u SAP'!$N$3:$N$501,"=43")+SUMIFS('ANALITIKA EU PROJEKATA'!$I$3:$I$34,'ANALITIKA EU PROJEKATA'!$A$3:$A$34,"=563",'ANALITIKA EU PROJEKATA'!$Q$3:$Q$34,"=43")</f>
        <v>0</v>
      </c>
      <c r="P103" s="138">
        <f>SUMIFS('Plan rashoda za unos u SAP'!$K$3:$K$501,'Plan rashoda za unos u SAP'!$C$3:$C$501,"=573",'Plan rashoda za unos u SAP'!$N$3:$N$501,"=43")+SUMIFS('ANALITIKA EU PROJEKATA'!$I$3:$I$34,'ANALITIKA EU PROJEKATA'!$A$3:$A$34,"=573",'ANALITIKA EU PROJEKATA'!$Q$3:$Q$34,"=43")</f>
        <v>0</v>
      </c>
      <c r="Q103" s="138">
        <f>SUMIFS('Plan rashoda za unos u SAP'!$K$3:$K$501,'Plan rashoda za unos u SAP'!$C$3:$C$501,"=575",'Plan rashoda za unos u SAP'!$N$3:$N$501,"=43")+SUMIFS('ANALITIKA EU PROJEKATA'!$I$3:$I$34,'ANALITIKA EU PROJEKATA'!$A$3:$A$34,"=575",'ANALITIKA EU PROJEKATA'!$Q$3:$Q$34,"=43")</f>
        <v>0</v>
      </c>
      <c r="R103" s="138">
        <f>SUMIFS('Plan rashoda za unos u SAP'!$K$3:$K$501,'Plan rashoda za unos u SAP'!$C$3:$C$501,"=576",'Plan rashoda za unos u SAP'!$N$3:$N$501,"=43")+SUMIFS('ANALITIKA EU PROJEKATA'!$I$3:$I$34,'ANALITIKA EU PROJEKATA'!$A$3:$A$34,"=576",'ANALITIKA EU PROJEKATA'!$Q$3:$Q$34,"=43")</f>
        <v>0</v>
      </c>
      <c r="S103" s="138">
        <f>SUMIFS('Plan rashoda za unos u SAP'!$K$3:$K$501,'Plan rashoda za unos u SAP'!$C$3:$C$501,"=581",'Plan rashoda za unos u SAP'!$N$3:$N$501,"=43")+SUMIFS('ANALITIKA EU PROJEKATA'!$I$3:$I$34,'ANALITIKA EU PROJEKATA'!$A$3:$A$34,"=581",'ANALITIKA EU PROJEKATA'!$Q$3:$Q$34,"=43")</f>
        <v>0</v>
      </c>
      <c r="T103" s="138">
        <f>SUMIFS('Plan rashoda za unos u SAP'!$K$3:$K$501,'Plan rashoda za unos u SAP'!$C$3:$C$501,"=61",'Plan rashoda za unos u SAP'!$N$3:$N$501,"=43")+SUMIFS('ANALITIKA EU PROJEKATA'!$I$3:$I$34,'ANALITIKA EU PROJEKATA'!$A$3:$A$34,"=61",'ANALITIKA EU PROJEKATA'!$Q$3:$Q$34,"=43")</f>
        <v>0</v>
      </c>
      <c r="U103" s="138">
        <f>SUMIFS('Plan rashoda za unos u SAP'!$K$3:$K$501,'Plan rashoda za unos u SAP'!$C$3:$C$501,"=63",'Plan rashoda za unos u SAP'!$N$3:$N$501,"=43")+SUMIFS('ANALITIKA EU PROJEKATA'!$I$3:$I$34,'ANALITIKA EU PROJEKATA'!$A$3:$A$34,"=63",'ANALITIKA EU PROJEKATA'!$Q$3:$Q$34,"=43")</f>
        <v>0</v>
      </c>
      <c r="V103" s="138">
        <f>SUMIFS('Plan rashoda za unos u SAP'!$K$3:$K$501,'Plan rashoda za unos u SAP'!$C$3:$C$501,"=71",'Plan rashoda za unos u SAP'!$N$3:$N$501,"=43")+SUMIFS('ANALITIKA EU PROJEKATA'!$I$3:$I$34,'ANALITIKA EU PROJEKATA'!$A$3:$A$34,"=71",'ANALITIKA EU PROJEKATA'!$Q$3:$Q$34,"=43")</f>
        <v>0</v>
      </c>
      <c r="W103" s="138">
        <f>SUMIFS('Plan rashoda za unos u SAP'!$K$3:$K$501,'Plan rashoda za unos u SAP'!$C$3:$C$501,"=81",'Plan rashoda za unos u SAP'!$N$3:$N$501,"=43")+SUMIFS('ANALITIKA EU PROJEKATA'!$I$3:$I$34,'ANALITIKA EU PROJEKATA'!$A$3:$A$34,"=81",'ANALITIKA EU PROJEKATA'!$Q$3:$Q$34,"=43")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PROJEKATA'!$I$3:$I$34,'ANALITIKA EU PROJEKATA'!$A$3:$A$34,"=11",'ANALITIKA EU PROJEKATA'!$Q$3:$Q$34,"=44")</f>
        <v>0</v>
      </c>
      <c r="F104" s="138">
        <f>SUMIFS('Plan rashoda za unos u SAP'!$K$3:$K$501,'Plan rashoda za unos u SAP'!$C$3:$C$501,"=12",'Plan rashoda za unos u SAP'!$N$3:$N$501,"=44")+SUMIFS('ANALITIKA EU PROJEKATA'!$I$3:$I$34,'ANALITIKA EU PROJEKATA'!$A$3:$A$34,"=12",'ANALITIKA EU PROJEKATA'!$Q$3:$Q$34,"=44")</f>
        <v>0</v>
      </c>
      <c r="G104" s="138">
        <f>SUMIFS('Plan rashoda za unos u SAP'!$K$3:$K$501,'Plan rashoda za unos u SAP'!$C$3:$C$501,"=31",'Plan rashoda za unos u SAP'!$N$3:$N$501,"=44")+SUMIFS('ANALITIKA EU PROJEKATA'!$I$3:$I$34,'ANALITIKA EU PROJEKATA'!$A$3:$A$34,"=31",'ANALITIKA EU PROJEKATA'!$Q$3:$Q$34,"=44")</f>
        <v>0</v>
      </c>
      <c r="H104" s="138">
        <f>SUMIFS('Plan rashoda za unos u SAP'!$K$3:$K$501,'Plan rashoda za unos u SAP'!$C$3:$C$501,"=41",'Plan rashoda za unos u SAP'!$N$3:$N$501,"=44")+SUMIFS('ANALITIKA EU PROJEKATA'!$I$3:$I$34,'ANALITIKA EU PROJEKATA'!$A$3:$A$34,"=41",'ANALITIKA EU PROJEKATA'!$Q$3:$Q$34,"=44")</f>
        <v>0</v>
      </c>
      <c r="I104" s="138">
        <f>SUMIFS('Plan rashoda za unos u SAP'!$K$3:$K$501,'Plan rashoda za unos u SAP'!$C$3:$C$501,"=43",'Plan rashoda za unos u SAP'!$N$3:$N$501,"=44")+SUMIFS('ANALITIKA EU PROJEKATA'!$I$3:$I$34,'ANALITIKA EU PROJEKATA'!$A$3:$A$34,"=43",'ANALITIKA EU PROJEKATA'!$Q$3:$Q$34,"=44")</f>
        <v>0</v>
      </c>
      <c r="J104" s="138">
        <f>SUMIFS('Plan rashoda za unos u SAP'!$K$3:$K$501,'Plan rashoda za unos u SAP'!$C$3:$C$501,"=51",'Plan rashoda za unos u SAP'!$N$3:$N$501,"=44")+SUMIFS('ANALITIKA EU PROJEKATA'!$I$3:$I$34,'ANALITIKA EU PROJEKATA'!$A$3:$A$34,"=51",'ANALITIKA EU PROJEKATA'!$Q$3:$Q$34,"=44")</f>
        <v>0</v>
      </c>
      <c r="K104" s="138">
        <f>SUMIFS('Plan rashoda za unos u SAP'!$K$3:$K$501,'Plan rashoda za unos u SAP'!$C$3:$C$501,"=52",'Plan rashoda za unos u SAP'!$N$3:$N$501,"=44")+SUMIFS('ANALITIKA EU PROJEKATA'!$I$3:$I$34,'ANALITIKA EU PROJEKATA'!$A$3:$A$34,"=52",'ANALITIKA EU PROJEKATA'!$Q$3:$Q$34,"=44")</f>
        <v>0</v>
      </c>
      <c r="L104" s="138">
        <f>SUMIFS('Plan rashoda za unos u SAP'!$K$3:$K$501,'Plan rashoda za unos u SAP'!$C$3:$C$501,"=552",'Plan rashoda za unos u SAP'!$N$3:$N$501,"=44")+SUMIFS('ANALITIKA EU PROJEKATA'!$I$3:$I$34,'ANALITIKA EU PROJEKATA'!$A$3:$A$34,"=552",'ANALITIKA EU PROJEKATA'!$Q$3:$Q$34,"=44")</f>
        <v>0</v>
      </c>
      <c r="M104" s="138">
        <f>SUMIFS('Plan rashoda za unos u SAP'!$K$3:$K$501,'Plan rashoda za unos u SAP'!$C$3:$C$501,"=559",'Plan rashoda za unos u SAP'!$N$3:$N$501,"=44")+SUMIFS('ANALITIKA EU PROJEKATA'!$I$3:$I$34,'ANALITIKA EU PROJEKATA'!$A$3:$A$34,"=559",'ANALITIKA EU PROJEKATA'!$Q$3:$Q$34,"=44")</f>
        <v>0</v>
      </c>
      <c r="N104" s="138">
        <f>SUMIFS('Plan rashoda za unos u SAP'!$K$3:$K$501,'Plan rashoda za unos u SAP'!$C$3:$C$501,"=561",'Plan rashoda za unos u SAP'!$N$3:$N$501,"=44")+SUMIFS('ANALITIKA EU PROJEKATA'!$I$3:$I$34,'ANALITIKA EU PROJEKATA'!$A$3:$A$34,"=561",'ANALITIKA EU PROJEKATA'!$Q$3:$Q$34,"=44")</f>
        <v>0</v>
      </c>
      <c r="O104" s="138">
        <f>SUMIFS('Plan rashoda za unos u SAP'!$K$3:$K$501,'Plan rashoda za unos u SAP'!$C$3:$C$501,"=563",'Plan rashoda za unos u SAP'!$N$3:$N$501,"=44")+SUMIFS('ANALITIKA EU PROJEKATA'!$I$3:$I$34,'ANALITIKA EU PROJEKATA'!$A$3:$A$34,"=563",'ANALITIKA EU PROJEKATA'!$Q$3:$Q$34,"=44")</f>
        <v>0</v>
      </c>
      <c r="P104" s="138">
        <f>SUMIFS('Plan rashoda za unos u SAP'!$K$3:$K$501,'Plan rashoda za unos u SAP'!$C$3:$C$501,"=573",'Plan rashoda za unos u SAP'!$N$3:$N$501,"=44")+SUMIFS('ANALITIKA EU PROJEKATA'!$I$3:$I$34,'ANALITIKA EU PROJEKATA'!$A$3:$A$34,"=573",'ANALITIKA EU PROJEKATA'!$Q$3:$Q$34,"=44")</f>
        <v>0</v>
      </c>
      <c r="Q104" s="138">
        <f>SUMIFS('Plan rashoda za unos u SAP'!$K$3:$K$501,'Plan rashoda za unos u SAP'!$C$3:$C$501,"=575",'Plan rashoda za unos u SAP'!$N$3:$N$501,"=44")+SUMIFS('ANALITIKA EU PROJEKATA'!$I$3:$I$34,'ANALITIKA EU PROJEKATA'!$A$3:$A$34,"=575",'ANALITIKA EU PROJEKATA'!$Q$3:$Q$34,"=44")</f>
        <v>0</v>
      </c>
      <c r="R104" s="138">
        <f>SUMIFS('Plan rashoda za unos u SAP'!$K$3:$K$501,'Plan rashoda za unos u SAP'!$C$3:$C$501,"=576",'Plan rashoda za unos u SAP'!$N$3:$N$501,"=44")+SUMIFS('ANALITIKA EU PROJEKATA'!$I$3:$I$34,'ANALITIKA EU PROJEKATA'!$A$3:$A$34,"=576",'ANALITIKA EU PROJEKATA'!$Q$3:$Q$34,"=44")</f>
        <v>0</v>
      </c>
      <c r="S104" s="138">
        <f>SUMIFS('Plan rashoda za unos u SAP'!$K$3:$K$501,'Plan rashoda za unos u SAP'!$C$3:$C$501,"=581",'Plan rashoda za unos u SAP'!$N$3:$N$501,"=44")+SUMIFS('ANALITIKA EU PROJEKATA'!$I$3:$I$34,'ANALITIKA EU PROJEKATA'!$A$3:$A$34,"=581",'ANALITIKA EU PROJEKATA'!$Q$3:$Q$34,"=44")</f>
        <v>0</v>
      </c>
      <c r="T104" s="138">
        <f>SUMIFS('Plan rashoda za unos u SAP'!$K$3:$K$501,'Plan rashoda za unos u SAP'!$C$3:$C$501,"=61",'Plan rashoda za unos u SAP'!$N$3:$N$501,"=44")+SUMIFS('ANALITIKA EU PROJEKATA'!$I$3:$I$34,'ANALITIKA EU PROJEKATA'!$A$3:$A$34,"=61",'ANALITIKA EU PROJEKATA'!$Q$3:$Q$34,"=44")</f>
        <v>0</v>
      </c>
      <c r="U104" s="138">
        <f>SUMIFS('Plan rashoda za unos u SAP'!$K$3:$K$501,'Plan rashoda za unos u SAP'!$C$3:$C$501,"=63",'Plan rashoda za unos u SAP'!$N$3:$N$501,"=44")+SUMIFS('ANALITIKA EU PROJEKATA'!$I$3:$I$34,'ANALITIKA EU PROJEKATA'!$A$3:$A$34,"=63",'ANALITIKA EU PROJEKATA'!$Q$3:$Q$34,"=44")</f>
        <v>0</v>
      </c>
      <c r="V104" s="138">
        <f>SUMIFS('Plan rashoda za unos u SAP'!$K$3:$K$501,'Plan rashoda za unos u SAP'!$C$3:$C$501,"=71",'Plan rashoda za unos u SAP'!$N$3:$N$501,"=44")+SUMIFS('ANALITIKA EU PROJEKATA'!$I$3:$I$34,'ANALITIKA EU PROJEKATA'!$A$3:$A$34,"=71",'ANALITIKA EU PROJEKATA'!$Q$3:$Q$34,"=44")</f>
        <v>0</v>
      </c>
      <c r="W104" s="138">
        <f>SUMIFS('Plan rashoda za unos u SAP'!$K$3:$K$501,'Plan rashoda za unos u SAP'!$C$3:$C$501,"=81",'Plan rashoda za unos u SAP'!$N$3:$N$501,"=44")+SUMIFS('ANALITIKA EU PROJEKATA'!$I$3:$I$34,'ANALITIKA EU PROJEKATA'!$A$3:$A$34,"=81",'ANALITIKA EU PROJEKATA'!$Q$3:$Q$34,"=44")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PROJEKATA'!$I$3:$I$34,'ANALITIKA EU PROJEKATA'!$A$3:$A$34,"=11",'ANALITIKA EU PROJEKATA'!$Q$3:$Q$34,"=45")</f>
        <v>0</v>
      </c>
      <c r="F105" s="138">
        <f>SUMIFS('Plan rashoda za unos u SAP'!$K$3:$K$501,'Plan rashoda za unos u SAP'!$C$3:$C$501,"=12",'Plan rashoda za unos u SAP'!$N$3:$N$501,"=45")+SUMIFS('ANALITIKA EU PROJEKATA'!$I$3:$I$34,'ANALITIKA EU PROJEKATA'!$A$3:$A$34,"=12",'ANALITIKA EU PROJEKATA'!$Q$3:$Q$34,"=45")</f>
        <v>0</v>
      </c>
      <c r="G105" s="138">
        <f>SUMIFS('Plan rashoda za unos u SAP'!$K$3:$K$501,'Plan rashoda za unos u SAP'!$C$3:$C$501,"=31",'Plan rashoda za unos u SAP'!$N$3:$N$501,"=45")+SUMIFS('ANALITIKA EU PROJEKATA'!$I$3:$I$34,'ANALITIKA EU PROJEKATA'!$A$3:$A$34,"=31",'ANALITIKA EU PROJEKATA'!$Q$3:$Q$34,"=45")</f>
        <v>0</v>
      </c>
      <c r="H105" s="138">
        <f>SUMIFS('Plan rashoda za unos u SAP'!$K$3:$K$501,'Plan rashoda za unos u SAP'!$C$3:$C$501,"=41",'Plan rashoda za unos u SAP'!$N$3:$N$501,"=45")+SUMIFS('ANALITIKA EU PROJEKATA'!$I$3:$I$34,'ANALITIKA EU PROJEKATA'!$A$3:$A$34,"=41",'ANALITIKA EU PROJEKATA'!$Q$3:$Q$34,"=45")</f>
        <v>0</v>
      </c>
      <c r="I105" s="138">
        <f>SUMIFS('Plan rashoda za unos u SAP'!$K$3:$K$501,'Plan rashoda za unos u SAP'!$C$3:$C$501,"=43",'Plan rashoda za unos u SAP'!$N$3:$N$501,"=45")+SUMIFS('ANALITIKA EU PROJEKATA'!$I$3:$I$34,'ANALITIKA EU PROJEKATA'!$A$3:$A$34,"=43",'ANALITIKA EU PROJEKATA'!$Q$3:$Q$34,"=45")</f>
        <v>0</v>
      </c>
      <c r="J105" s="138">
        <f>SUMIFS('Plan rashoda za unos u SAP'!$K$3:$K$501,'Plan rashoda za unos u SAP'!$C$3:$C$501,"=51",'Plan rashoda za unos u SAP'!$N$3:$N$501,"=45")+SUMIFS('ANALITIKA EU PROJEKATA'!$I$3:$I$34,'ANALITIKA EU PROJEKATA'!$A$3:$A$34,"=51",'ANALITIKA EU PROJEKATA'!$Q$3:$Q$34,"=45")</f>
        <v>0</v>
      </c>
      <c r="K105" s="138">
        <f>SUMIFS('Plan rashoda za unos u SAP'!$K$3:$K$501,'Plan rashoda za unos u SAP'!$C$3:$C$501,"=52",'Plan rashoda za unos u SAP'!$N$3:$N$501,"=45")+SUMIFS('ANALITIKA EU PROJEKATA'!$I$3:$I$34,'ANALITIKA EU PROJEKATA'!$A$3:$A$34,"=52",'ANALITIKA EU PROJEKATA'!$Q$3:$Q$34,"=45")</f>
        <v>0</v>
      </c>
      <c r="L105" s="138">
        <f>SUMIFS('Plan rashoda za unos u SAP'!$K$3:$K$501,'Plan rashoda za unos u SAP'!$C$3:$C$501,"=552",'Plan rashoda za unos u SAP'!$N$3:$N$501,"=45")+SUMIFS('ANALITIKA EU PROJEKATA'!$I$3:$I$34,'ANALITIKA EU PROJEKATA'!$A$3:$A$34,"=552",'ANALITIKA EU PROJEKATA'!$Q$3:$Q$34,"=45")</f>
        <v>0</v>
      </c>
      <c r="M105" s="138">
        <f>SUMIFS('Plan rashoda za unos u SAP'!$K$3:$K$501,'Plan rashoda za unos u SAP'!$C$3:$C$501,"=559",'Plan rashoda za unos u SAP'!$N$3:$N$501,"=45")+SUMIFS('ANALITIKA EU PROJEKATA'!$I$3:$I$34,'ANALITIKA EU PROJEKATA'!$A$3:$A$34,"=559",'ANALITIKA EU PROJEKATA'!$Q$3:$Q$34,"=45")</f>
        <v>0</v>
      </c>
      <c r="N105" s="138">
        <f>SUMIFS('Plan rashoda za unos u SAP'!$K$3:$K$501,'Plan rashoda za unos u SAP'!$C$3:$C$501,"=561",'Plan rashoda za unos u SAP'!$N$3:$N$501,"=45")+SUMIFS('ANALITIKA EU PROJEKATA'!$I$3:$I$34,'ANALITIKA EU PROJEKATA'!$A$3:$A$34,"=561",'ANALITIKA EU PROJEKATA'!$Q$3:$Q$34,"=45")</f>
        <v>0</v>
      </c>
      <c r="O105" s="138">
        <f>SUMIFS('Plan rashoda za unos u SAP'!$K$3:$K$501,'Plan rashoda za unos u SAP'!$C$3:$C$501,"=563",'Plan rashoda za unos u SAP'!$N$3:$N$501,"=45")+SUMIFS('ANALITIKA EU PROJEKATA'!$I$3:$I$34,'ANALITIKA EU PROJEKATA'!$A$3:$A$34,"=563",'ANALITIKA EU PROJEKATA'!$Q$3:$Q$34,"=45")</f>
        <v>0</v>
      </c>
      <c r="P105" s="138">
        <f>SUMIFS('Plan rashoda za unos u SAP'!$K$3:$K$501,'Plan rashoda za unos u SAP'!$C$3:$C$501,"=573",'Plan rashoda za unos u SAP'!$N$3:$N$501,"=45")+SUMIFS('ANALITIKA EU PROJEKATA'!$I$3:$I$34,'ANALITIKA EU PROJEKATA'!$A$3:$A$34,"=573",'ANALITIKA EU PROJEKATA'!$Q$3:$Q$34,"=45")</f>
        <v>0</v>
      </c>
      <c r="Q105" s="138">
        <f>SUMIFS('Plan rashoda za unos u SAP'!$K$3:$K$501,'Plan rashoda za unos u SAP'!$C$3:$C$501,"=575",'Plan rashoda za unos u SAP'!$N$3:$N$501,"=45")+SUMIFS('ANALITIKA EU PROJEKATA'!$I$3:$I$34,'ANALITIKA EU PROJEKATA'!$A$3:$A$34,"=575",'ANALITIKA EU PROJEKATA'!$Q$3:$Q$34,"=45")</f>
        <v>0</v>
      </c>
      <c r="R105" s="138">
        <f>SUMIFS('Plan rashoda za unos u SAP'!$K$3:$K$501,'Plan rashoda za unos u SAP'!$C$3:$C$501,"=576",'Plan rashoda za unos u SAP'!$N$3:$N$501,"=45")+SUMIFS('ANALITIKA EU PROJEKATA'!$I$3:$I$34,'ANALITIKA EU PROJEKATA'!$A$3:$A$34,"=576",'ANALITIKA EU PROJEKATA'!$Q$3:$Q$34,"=45")</f>
        <v>0</v>
      </c>
      <c r="S105" s="138">
        <f>SUMIFS('Plan rashoda za unos u SAP'!$K$3:$K$501,'Plan rashoda za unos u SAP'!$C$3:$C$501,"=581",'Plan rashoda za unos u SAP'!$N$3:$N$501,"=45")+SUMIFS('ANALITIKA EU PROJEKATA'!$I$3:$I$34,'ANALITIKA EU PROJEKATA'!$A$3:$A$34,"=581",'ANALITIKA EU PROJEKATA'!$Q$3:$Q$34,"=45")</f>
        <v>0</v>
      </c>
      <c r="T105" s="138">
        <f>SUMIFS('Plan rashoda za unos u SAP'!$K$3:$K$501,'Plan rashoda za unos u SAP'!$C$3:$C$501,"=61",'Plan rashoda za unos u SAP'!$N$3:$N$501,"=45")+SUMIFS('ANALITIKA EU PROJEKATA'!$I$3:$I$34,'ANALITIKA EU PROJEKATA'!$A$3:$A$34,"=61",'ANALITIKA EU PROJEKATA'!$Q$3:$Q$34,"=45")</f>
        <v>0</v>
      </c>
      <c r="U105" s="138">
        <f>SUMIFS('Plan rashoda za unos u SAP'!$K$3:$K$501,'Plan rashoda za unos u SAP'!$C$3:$C$501,"=63",'Plan rashoda za unos u SAP'!$N$3:$N$501,"=45")+SUMIFS('ANALITIKA EU PROJEKATA'!$I$3:$I$34,'ANALITIKA EU PROJEKATA'!$A$3:$A$34,"=63",'ANALITIKA EU PROJEKATA'!$Q$3:$Q$34,"=45")</f>
        <v>0</v>
      </c>
      <c r="V105" s="138">
        <f>SUMIFS('Plan rashoda za unos u SAP'!$K$3:$K$501,'Plan rashoda za unos u SAP'!$C$3:$C$501,"=71",'Plan rashoda za unos u SAP'!$N$3:$N$501,"=45")+SUMIFS('ANALITIKA EU PROJEKATA'!$I$3:$I$34,'ANALITIKA EU PROJEKATA'!$A$3:$A$34,"=71",'ANALITIKA EU PROJEKATA'!$Q$3:$Q$34,"=45")</f>
        <v>0</v>
      </c>
      <c r="W105" s="138">
        <f>SUMIFS('Plan rashoda za unos u SAP'!$K$3:$K$501,'Plan rashoda za unos u SAP'!$C$3:$C$501,"=81",'Plan rashoda za unos u SAP'!$N$3:$N$501,"=45")+SUMIFS('ANALITIKA EU PROJEKATA'!$I$3:$I$34,'ANALITIKA EU PROJEKATA'!$A$3:$A$34,"=81",'ANALITIKA EU PROJEKATA'!$Q$3:$Q$34,"=45")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PROJEKATA'!$I$3:$I$34,'ANALITIKA EU PROJEKATA'!$A$3:$A$34,"=11",'ANALITIKA EU PROJEKATA'!$Q$3:$Q$34,"=51")</f>
        <v>0</v>
      </c>
      <c r="F107" s="138">
        <f>SUMIFS('Plan rashoda za unos u SAP'!$K$3:$K$501,'Plan rashoda za unos u SAP'!$C$3:$C$501,"=12",'Plan rashoda za unos u SAP'!$N$3:$N$501,"=51")+SUMIFS('ANALITIKA EU PROJEKATA'!$I$3:$I$34,'ANALITIKA EU PROJEKATA'!$A$3:$A$34,"=12",'ANALITIKA EU PROJEKATA'!$Q$3:$Q$34,"=51")</f>
        <v>0</v>
      </c>
      <c r="G107" s="138">
        <f>SUMIFS('Plan rashoda za unos u SAP'!$K$3:$K$501,'Plan rashoda za unos u SAP'!$C$3:$C$501,"=31",'Plan rashoda za unos u SAP'!$N$3:$N$501,"=51")+SUMIFS('ANALITIKA EU PROJEKATA'!$I$3:$I$34,'ANALITIKA EU PROJEKATA'!$A$3:$A$34,"=31",'ANALITIKA EU PROJEKATA'!$Q$3:$Q$34,"=51")</f>
        <v>0</v>
      </c>
      <c r="H107" s="138">
        <f>SUMIFS('Plan rashoda za unos u SAP'!$K$3:$K$501,'Plan rashoda za unos u SAP'!$C$3:$C$501,"=41",'Plan rashoda za unos u SAP'!$N$3:$N$501,"=51")+SUMIFS('ANALITIKA EU PROJEKATA'!$I$3:$I$34,'ANALITIKA EU PROJEKATA'!$A$3:$A$34,"=41",'ANALITIKA EU PROJEKATA'!$Q$3:$Q$34,"=51")</f>
        <v>0</v>
      </c>
      <c r="I107" s="138">
        <f>SUMIFS('Plan rashoda za unos u SAP'!$K$3:$K$501,'Plan rashoda za unos u SAP'!$C$3:$C$501,"=43",'Plan rashoda za unos u SAP'!$N$3:$N$501,"=51")+SUMIFS('ANALITIKA EU PROJEKATA'!$I$3:$I$34,'ANALITIKA EU PROJEKATA'!$A$3:$A$34,"=43",'ANALITIKA EU PROJEKATA'!$Q$3:$Q$34,"=51")</f>
        <v>0</v>
      </c>
      <c r="J107" s="138">
        <f>SUMIFS('Plan rashoda za unos u SAP'!$K$3:$K$501,'Plan rashoda za unos u SAP'!$C$3:$C$501,"=51",'Plan rashoda za unos u SAP'!$N$3:$N$501,"=51")+SUMIFS('ANALITIKA EU PROJEKATA'!$I$3:$I$34,'ANALITIKA EU PROJEKATA'!$A$3:$A$34,"=51",'ANALITIKA EU PROJEKATA'!$Q$3:$Q$34,"=51")</f>
        <v>0</v>
      </c>
      <c r="K107" s="138">
        <f>SUMIFS('Plan rashoda za unos u SAP'!$K$3:$K$501,'Plan rashoda za unos u SAP'!$C$3:$C$501,"=52",'Plan rashoda za unos u SAP'!$N$3:$N$501,"=51")+SUMIFS('ANALITIKA EU PROJEKATA'!$I$3:$I$34,'ANALITIKA EU PROJEKATA'!$A$3:$A$34,"=52",'ANALITIKA EU PROJEKATA'!$Q$3:$Q$34,"=51")</f>
        <v>0</v>
      </c>
      <c r="L107" s="138">
        <f>SUMIFS('Plan rashoda za unos u SAP'!$K$3:$K$501,'Plan rashoda za unos u SAP'!$C$3:$C$501,"=552",'Plan rashoda za unos u SAP'!$N$3:$N$501,"=51")+SUMIFS('ANALITIKA EU PROJEKATA'!$I$3:$I$34,'ANALITIKA EU PROJEKATA'!$A$3:$A$34,"=552",'ANALITIKA EU PROJEKATA'!$Q$3:$Q$34,"=51")</f>
        <v>0</v>
      </c>
      <c r="M107" s="138">
        <f>SUMIFS('Plan rashoda za unos u SAP'!$K$3:$K$501,'Plan rashoda za unos u SAP'!$C$3:$C$501,"=559",'Plan rashoda za unos u SAP'!$N$3:$N$501,"=51")+SUMIFS('ANALITIKA EU PROJEKATA'!$I$3:$I$34,'ANALITIKA EU PROJEKATA'!$A$3:$A$34,"=559",'ANALITIKA EU PROJEKATA'!$Q$3:$Q$34,"=51")</f>
        <v>0</v>
      </c>
      <c r="N107" s="138">
        <f>SUMIFS('Plan rashoda za unos u SAP'!$K$3:$K$501,'Plan rashoda za unos u SAP'!$C$3:$C$501,"=561",'Plan rashoda za unos u SAP'!$N$3:$N$501,"=51")+SUMIFS('ANALITIKA EU PROJEKATA'!$I$3:$I$34,'ANALITIKA EU PROJEKATA'!$A$3:$A$34,"=561",'ANALITIKA EU PROJEKATA'!$Q$3:$Q$34,"=51")</f>
        <v>0</v>
      </c>
      <c r="O107" s="138">
        <f>SUMIFS('Plan rashoda za unos u SAP'!$K$3:$K$501,'Plan rashoda za unos u SAP'!$C$3:$C$501,"=563",'Plan rashoda za unos u SAP'!$N$3:$N$501,"=51")+SUMIFS('ANALITIKA EU PROJEKATA'!$I$3:$I$34,'ANALITIKA EU PROJEKATA'!$A$3:$A$34,"=563",'ANALITIKA EU PROJEKATA'!$Q$3:$Q$34,"=51")</f>
        <v>0</v>
      </c>
      <c r="P107" s="138">
        <f>SUMIFS('Plan rashoda za unos u SAP'!$K$3:$K$501,'Plan rashoda za unos u SAP'!$C$3:$C$501,"=573",'Plan rashoda za unos u SAP'!$N$3:$N$501,"=51")+SUMIFS('ANALITIKA EU PROJEKATA'!$I$3:$I$34,'ANALITIKA EU PROJEKATA'!$A$3:$A$34,"=573",'ANALITIKA EU PROJEKATA'!$Q$3:$Q$34,"=51")</f>
        <v>0</v>
      </c>
      <c r="Q107" s="138">
        <f>SUMIFS('Plan rashoda za unos u SAP'!$K$3:$K$501,'Plan rashoda za unos u SAP'!$C$3:$C$501,"=575",'Plan rashoda za unos u SAP'!$N$3:$N$501,"=51")+SUMIFS('ANALITIKA EU PROJEKATA'!$I$3:$I$34,'ANALITIKA EU PROJEKATA'!$A$3:$A$34,"=575",'ANALITIKA EU PROJEKATA'!$Q$3:$Q$34,"=51")</f>
        <v>0</v>
      </c>
      <c r="R107" s="138">
        <f>SUMIFS('Plan rashoda za unos u SAP'!$K$3:$K$501,'Plan rashoda za unos u SAP'!$C$3:$C$501,"=576",'Plan rashoda za unos u SAP'!$N$3:$N$501,"=51")+SUMIFS('ANALITIKA EU PROJEKATA'!$I$3:$I$34,'ANALITIKA EU PROJEKATA'!$A$3:$A$34,"=576",'ANALITIKA EU PROJEKATA'!$Q$3:$Q$34,"=51")</f>
        <v>0</v>
      </c>
      <c r="S107" s="138">
        <f>SUMIFS('Plan rashoda za unos u SAP'!$K$3:$K$501,'Plan rashoda za unos u SAP'!$C$3:$C$501,"=581",'Plan rashoda za unos u SAP'!$N$3:$N$501,"=51")+SUMIFS('ANALITIKA EU PROJEKATA'!$I$3:$I$34,'ANALITIKA EU PROJEKATA'!$A$3:$A$34,"=581",'ANALITIKA EU PROJEKATA'!$Q$3:$Q$34,"=51")</f>
        <v>0</v>
      </c>
      <c r="T107" s="138">
        <f>SUMIFS('Plan rashoda za unos u SAP'!$K$3:$K$501,'Plan rashoda za unos u SAP'!$C$3:$C$501,"=61",'Plan rashoda za unos u SAP'!$N$3:$N$501,"=51")+SUMIFS('ANALITIKA EU PROJEKATA'!$I$3:$I$34,'ANALITIKA EU PROJEKATA'!$A$3:$A$34,"=61",'ANALITIKA EU PROJEKATA'!$Q$3:$Q$34,"=51")</f>
        <v>0</v>
      </c>
      <c r="U107" s="138">
        <f>SUMIFS('Plan rashoda za unos u SAP'!$K$3:$K$501,'Plan rashoda za unos u SAP'!$C$3:$C$501,"=63",'Plan rashoda za unos u SAP'!$N$3:$N$501,"=51")+SUMIFS('ANALITIKA EU PROJEKATA'!$I$3:$I$34,'ANALITIKA EU PROJEKATA'!$A$3:$A$34,"=63",'ANALITIKA EU PROJEKATA'!$Q$3:$Q$34,"=51")</f>
        <v>0</v>
      </c>
      <c r="V107" s="138">
        <f>SUMIFS('Plan rashoda za unos u SAP'!$K$3:$K$501,'Plan rashoda za unos u SAP'!$C$3:$C$501,"=71",'Plan rashoda za unos u SAP'!$N$3:$N$501,"=51")+SUMIFS('ANALITIKA EU PROJEKATA'!$I$3:$I$34,'ANALITIKA EU PROJEKATA'!$A$3:$A$34,"=71",'ANALITIKA EU PROJEKATA'!$Q$3:$Q$34,"=51")</f>
        <v>0</v>
      </c>
      <c r="W107" s="138">
        <f>SUMIFS('Plan rashoda za unos u SAP'!$K$3:$K$501,'Plan rashoda za unos u SAP'!$C$3:$C$501,"=81",'Plan rashoda za unos u SAP'!$N$3:$N$501,"=51")+SUMIFS('ANALITIKA EU PROJEKATA'!$I$3:$I$34,'ANALITIKA EU PROJEKATA'!$A$3:$A$34,"=81",'ANALITIKA EU PROJEKATA'!$Q$3:$Q$34,"=51")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PROJEKATA'!$I$3:$I$34,'ANALITIKA EU PROJEKATA'!$A$3:$A$34,"=11",'ANALITIKA EU PROJEKATA'!$Q$3:$Q$34,"=54")</f>
        <v>0</v>
      </c>
      <c r="F108" s="138">
        <f>SUMIFS('Plan rashoda za unos u SAP'!$K$3:$K$501,'Plan rashoda za unos u SAP'!$C$3:$C$501,"=12",'Plan rashoda za unos u SAP'!$N$3:$N$501,"=54")+SUMIFS('ANALITIKA EU PROJEKATA'!$I$3:$I$34,'ANALITIKA EU PROJEKATA'!$A$3:$A$34,"=12",'ANALITIKA EU PROJEKATA'!$Q$3:$Q$34,"=54")</f>
        <v>0</v>
      </c>
      <c r="G108" s="138">
        <f>SUMIFS('Plan rashoda za unos u SAP'!$K$3:$K$501,'Plan rashoda za unos u SAP'!$C$3:$C$501,"=31",'Plan rashoda za unos u SAP'!$N$3:$N$501,"=54")+SUMIFS('ANALITIKA EU PROJEKATA'!$I$3:$I$34,'ANALITIKA EU PROJEKATA'!$A$3:$A$34,"=31",'ANALITIKA EU PROJEKATA'!$Q$3:$Q$34,"=54")</f>
        <v>0</v>
      </c>
      <c r="H108" s="138">
        <f>SUMIFS('Plan rashoda za unos u SAP'!$K$3:$K$501,'Plan rashoda za unos u SAP'!$C$3:$C$501,"=41",'Plan rashoda za unos u SAP'!$N$3:$N$501,"=54")+SUMIFS('ANALITIKA EU PROJEKATA'!$I$3:$I$34,'ANALITIKA EU PROJEKATA'!$A$3:$A$34,"=41",'ANALITIKA EU PROJEKATA'!$Q$3:$Q$34,"=54")</f>
        <v>0</v>
      </c>
      <c r="I108" s="138">
        <f>SUMIFS('Plan rashoda za unos u SAP'!$K$3:$K$501,'Plan rashoda za unos u SAP'!$C$3:$C$501,"=43",'Plan rashoda za unos u SAP'!$N$3:$N$501,"=54")+SUMIFS('ANALITIKA EU PROJEKATA'!$I$3:$I$34,'ANALITIKA EU PROJEKATA'!$A$3:$A$34,"=43",'ANALITIKA EU PROJEKATA'!$Q$3:$Q$34,"=54")</f>
        <v>0</v>
      </c>
      <c r="J108" s="138">
        <f>SUMIFS('Plan rashoda za unos u SAP'!$K$3:$K$501,'Plan rashoda za unos u SAP'!$C$3:$C$501,"=51",'Plan rashoda za unos u SAP'!$N$3:$N$501,"=54")+SUMIFS('ANALITIKA EU PROJEKATA'!$I$3:$I$34,'ANALITIKA EU PROJEKATA'!$A$3:$A$34,"=51",'ANALITIKA EU PROJEKATA'!$Q$3:$Q$34,"=54")</f>
        <v>0</v>
      </c>
      <c r="K108" s="138">
        <f>SUMIFS('Plan rashoda za unos u SAP'!$K$3:$K$501,'Plan rashoda za unos u SAP'!$C$3:$C$501,"=52",'Plan rashoda za unos u SAP'!$N$3:$N$501,"=54")+SUMIFS('ANALITIKA EU PROJEKATA'!$I$3:$I$34,'ANALITIKA EU PROJEKATA'!$A$3:$A$34,"=52",'ANALITIKA EU PROJEKATA'!$Q$3:$Q$34,"=54")</f>
        <v>0</v>
      </c>
      <c r="L108" s="138">
        <f>SUMIFS('Plan rashoda za unos u SAP'!$K$3:$K$501,'Plan rashoda za unos u SAP'!$C$3:$C$501,"=552",'Plan rashoda za unos u SAP'!$N$3:$N$501,"=54")+SUMIFS('ANALITIKA EU PROJEKATA'!$I$3:$I$34,'ANALITIKA EU PROJEKATA'!$A$3:$A$34,"=552",'ANALITIKA EU PROJEKATA'!$Q$3:$Q$34,"=54")</f>
        <v>0</v>
      </c>
      <c r="M108" s="138">
        <f>SUMIFS('Plan rashoda za unos u SAP'!$K$3:$K$501,'Plan rashoda za unos u SAP'!$C$3:$C$501,"=559",'Plan rashoda za unos u SAP'!$N$3:$N$501,"=54")+SUMIFS('ANALITIKA EU PROJEKATA'!$I$3:$I$34,'ANALITIKA EU PROJEKATA'!$A$3:$A$34,"=559",'ANALITIKA EU PROJEKATA'!$Q$3:$Q$34,"=54")</f>
        <v>0</v>
      </c>
      <c r="N108" s="138">
        <f>SUMIFS('Plan rashoda za unos u SAP'!$K$3:$K$501,'Plan rashoda za unos u SAP'!$C$3:$C$501,"=561",'Plan rashoda za unos u SAP'!$N$3:$N$501,"=54")+SUMIFS('ANALITIKA EU PROJEKATA'!$I$3:$I$34,'ANALITIKA EU PROJEKATA'!$A$3:$A$34,"=561",'ANALITIKA EU PROJEKATA'!$Q$3:$Q$34,"=54")</f>
        <v>0</v>
      </c>
      <c r="O108" s="138">
        <f>SUMIFS('Plan rashoda za unos u SAP'!$K$3:$K$501,'Plan rashoda za unos u SAP'!$C$3:$C$501,"=563",'Plan rashoda za unos u SAP'!$N$3:$N$501,"=54")+SUMIFS('ANALITIKA EU PROJEKATA'!$I$3:$I$34,'ANALITIKA EU PROJEKATA'!$A$3:$A$34,"=563",'ANALITIKA EU PROJEKATA'!$Q$3:$Q$34,"=54")</f>
        <v>0</v>
      </c>
      <c r="P108" s="138">
        <f>SUMIFS('Plan rashoda za unos u SAP'!$K$3:$K$501,'Plan rashoda za unos u SAP'!$C$3:$C$501,"=573",'Plan rashoda za unos u SAP'!$N$3:$N$501,"=54")+SUMIFS('ANALITIKA EU PROJEKATA'!$I$3:$I$34,'ANALITIKA EU PROJEKATA'!$A$3:$A$34,"=573",'ANALITIKA EU PROJEKATA'!$Q$3:$Q$34,"=54")</f>
        <v>0</v>
      </c>
      <c r="Q108" s="138">
        <f>SUMIFS('Plan rashoda za unos u SAP'!$K$3:$K$501,'Plan rashoda za unos u SAP'!$C$3:$C$501,"=575",'Plan rashoda za unos u SAP'!$N$3:$N$501,"=54")+SUMIFS('ANALITIKA EU PROJEKATA'!$I$3:$I$34,'ANALITIKA EU PROJEKATA'!$A$3:$A$34,"=575",'ANALITIKA EU PROJEKATA'!$Q$3:$Q$34,"=54")</f>
        <v>0</v>
      </c>
      <c r="R108" s="138">
        <f>SUMIFS('Plan rashoda za unos u SAP'!$K$3:$K$501,'Plan rashoda za unos u SAP'!$C$3:$C$501,"=576",'Plan rashoda za unos u SAP'!$N$3:$N$501,"=54")+SUMIFS('ANALITIKA EU PROJEKATA'!$I$3:$I$34,'ANALITIKA EU PROJEKATA'!$A$3:$A$34,"=576",'ANALITIKA EU PROJEKATA'!$Q$3:$Q$34,"=54")</f>
        <v>0</v>
      </c>
      <c r="S108" s="138">
        <f>SUMIFS('Plan rashoda za unos u SAP'!$K$3:$K$501,'Plan rashoda za unos u SAP'!$C$3:$C$501,"=581",'Plan rashoda za unos u SAP'!$N$3:$N$501,"=54")+SUMIFS('ANALITIKA EU PROJEKATA'!$I$3:$I$34,'ANALITIKA EU PROJEKATA'!$A$3:$A$34,"=581",'ANALITIKA EU PROJEKATA'!$Q$3:$Q$34,"=54")</f>
        <v>0</v>
      </c>
      <c r="T108" s="138">
        <f>SUMIFS('Plan rashoda za unos u SAP'!$K$3:$K$501,'Plan rashoda za unos u SAP'!$C$3:$C$501,"=61",'Plan rashoda za unos u SAP'!$N$3:$N$501,"=54")+SUMIFS('ANALITIKA EU PROJEKATA'!$I$3:$I$34,'ANALITIKA EU PROJEKATA'!$A$3:$A$34,"=61",'ANALITIKA EU PROJEKATA'!$Q$3:$Q$34,"=54")</f>
        <v>0</v>
      </c>
      <c r="U108" s="138">
        <f>SUMIFS('Plan rashoda za unos u SAP'!$K$3:$K$501,'Plan rashoda za unos u SAP'!$C$3:$C$501,"=63",'Plan rashoda za unos u SAP'!$N$3:$N$501,"=54")+SUMIFS('ANALITIKA EU PROJEKATA'!$I$3:$I$34,'ANALITIKA EU PROJEKATA'!$A$3:$A$34,"=63",'ANALITIKA EU PROJEKATA'!$Q$3:$Q$34,"=54")</f>
        <v>0</v>
      </c>
      <c r="V108" s="138">
        <f>SUMIFS('Plan rashoda za unos u SAP'!$K$3:$K$501,'Plan rashoda za unos u SAP'!$C$3:$C$501,"=71",'Plan rashoda za unos u SAP'!$N$3:$N$501,"=54")+SUMIFS('ANALITIKA EU PROJEKATA'!$I$3:$I$34,'ANALITIKA EU PROJEKATA'!$A$3:$A$34,"=71",'ANALITIKA EU PROJEKATA'!$Q$3:$Q$34,"=54")</f>
        <v>0</v>
      </c>
      <c r="W108" s="138">
        <f>SUMIFS('Plan rashoda za unos u SAP'!$K$3:$K$501,'Plan rashoda za unos u SAP'!$C$3:$C$501,"=81",'Plan rashoda za unos u SAP'!$N$3:$N$501,"=54")+SUMIFS('ANALITIKA EU PROJEKATA'!$I$3:$I$34,'ANALITIKA EU PROJEKATA'!$A$3:$A$34,"=81",'ANALITIKA EU PROJEKATA'!$Q$3:$Q$34,"=54")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0" t="s">
        <v>221</v>
      </c>
      <c r="B10" s="282" t="s">
        <v>222</v>
      </c>
      <c r="C10" s="282" t="s">
        <v>223</v>
      </c>
      <c r="D10" s="285" t="s">
        <v>224</v>
      </c>
      <c r="E10" s="278" t="s">
        <v>3490</v>
      </c>
      <c r="F10" s="278" t="s">
        <v>765</v>
      </c>
      <c r="G10" s="278" t="s">
        <v>1912</v>
      </c>
      <c r="H10" s="278" t="s">
        <v>3491</v>
      </c>
    </row>
    <row r="11" spans="1:8" ht="15.75" thickBot="1">
      <c r="A11" s="281"/>
      <c r="B11" s="283"/>
      <c r="C11" s="284"/>
      <c r="D11" s="286"/>
      <c r="E11" s="287"/>
      <c r="F11" s="279"/>
      <c r="G11" s="279"/>
      <c r="H11" s="279"/>
    </row>
    <row r="12" spans="1:8">
      <c r="A12" s="29"/>
      <c r="B12" s="30"/>
      <c r="C12" s="31"/>
      <c r="D12" s="195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2" customWidth="1"/>
    <col min="2" max="2" width="113.5703125" style="202" customWidth="1"/>
  </cols>
  <sheetData>
    <row r="1" spans="1:2">
      <c r="A1" s="243" t="s">
        <v>1057</v>
      </c>
      <c r="B1" s="242" t="s">
        <v>587</v>
      </c>
    </row>
    <row r="2" spans="1:2" s="202" customFormat="1">
      <c r="A2" s="201" t="s">
        <v>1067</v>
      </c>
      <c r="B2" s="211" t="s">
        <v>1068</v>
      </c>
    </row>
    <row r="3" spans="1:2">
      <c r="A3" s="243" t="s">
        <v>1065</v>
      </c>
      <c r="B3" s="242" t="s">
        <v>1066</v>
      </c>
    </row>
    <row r="4" spans="1:2" s="202" customFormat="1" ht="32.25" customHeight="1">
      <c r="A4" s="245" t="s">
        <v>2002</v>
      </c>
      <c r="B4" s="244" t="s">
        <v>2003</v>
      </c>
    </row>
    <row r="5" spans="1:2" s="202" customFormat="1">
      <c r="A5" s="245" t="s">
        <v>2004</v>
      </c>
      <c r="B5" s="244" t="s">
        <v>2005</v>
      </c>
    </row>
    <row r="6" spans="1:2" s="202" customFormat="1">
      <c r="A6" s="245" t="s">
        <v>2006</v>
      </c>
      <c r="B6" s="244" t="s">
        <v>2007</v>
      </c>
    </row>
    <row r="7" spans="1:2" s="202" customFormat="1">
      <c r="A7" s="245" t="s">
        <v>1819</v>
      </c>
      <c r="B7" s="244" t="s">
        <v>1820</v>
      </c>
    </row>
    <row r="8" spans="1:2" s="202" customFormat="1">
      <c r="A8" s="245" t="s">
        <v>1821</v>
      </c>
      <c r="B8" s="244" t="s">
        <v>1822</v>
      </c>
    </row>
    <row r="9" spans="1:2" s="202" customFormat="1">
      <c r="A9" s="245" t="s">
        <v>2008</v>
      </c>
      <c r="B9" s="244" t="s">
        <v>2009</v>
      </c>
    </row>
    <row r="10" spans="1:2" s="202" customFormat="1">
      <c r="A10" s="245" t="s">
        <v>2010</v>
      </c>
      <c r="B10" s="244" t="s">
        <v>2011</v>
      </c>
    </row>
    <row r="11" spans="1:2" s="202" customFormat="1">
      <c r="A11" s="245" t="s">
        <v>2012</v>
      </c>
      <c r="B11" s="244" t="s">
        <v>2013</v>
      </c>
    </row>
    <row r="12" spans="1:2" s="202" customFormat="1">
      <c r="A12" s="245" t="s">
        <v>1069</v>
      </c>
      <c r="B12" s="244" t="s">
        <v>1070</v>
      </c>
    </row>
    <row r="13" spans="1:2" s="202" customFormat="1">
      <c r="A13" s="245" t="s">
        <v>1823</v>
      </c>
      <c r="B13" s="244" t="s">
        <v>1824</v>
      </c>
    </row>
    <row r="14" spans="1:2" s="202" customFormat="1">
      <c r="A14" s="245" t="s">
        <v>1071</v>
      </c>
      <c r="B14" s="244" t="s">
        <v>1072</v>
      </c>
    </row>
    <row r="15" spans="1:2" s="202" customFormat="1">
      <c r="A15" s="245" t="s">
        <v>2014</v>
      </c>
      <c r="B15" s="244" t="s">
        <v>2015</v>
      </c>
    </row>
    <row r="16" spans="1:2" s="202" customFormat="1">
      <c r="A16" s="245" t="s">
        <v>1825</v>
      </c>
      <c r="B16" s="244" t="s">
        <v>1826</v>
      </c>
    </row>
    <row r="17" spans="1:2" s="202" customFormat="1">
      <c r="A17" s="245" t="s">
        <v>2016</v>
      </c>
      <c r="B17" s="244" t="s">
        <v>2017</v>
      </c>
    </row>
    <row r="18" spans="1:2" s="202" customFormat="1">
      <c r="A18" s="245" t="s">
        <v>2018</v>
      </c>
      <c r="B18" s="244" t="s">
        <v>2019</v>
      </c>
    </row>
    <row r="19" spans="1:2" s="202" customFormat="1">
      <c r="A19" s="245" t="s">
        <v>2020</v>
      </c>
      <c r="B19" s="244" t="s">
        <v>2021</v>
      </c>
    </row>
    <row r="20" spans="1:2" s="202" customFormat="1">
      <c r="A20" s="245" t="s">
        <v>2022</v>
      </c>
      <c r="B20" s="244" t="s">
        <v>2023</v>
      </c>
    </row>
    <row r="21" spans="1:2" s="202" customFormat="1">
      <c r="A21" s="245" t="s">
        <v>2024</v>
      </c>
      <c r="B21" s="244" t="s">
        <v>2025</v>
      </c>
    </row>
    <row r="22" spans="1:2" s="202" customFormat="1">
      <c r="A22" s="245" t="s">
        <v>2026</v>
      </c>
      <c r="B22" s="244" t="s">
        <v>2027</v>
      </c>
    </row>
    <row r="23" spans="1:2" s="202" customFormat="1">
      <c r="A23" s="245" t="s">
        <v>2028</v>
      </c>
      <c r="B23" s="244" t="s">
        <v>2029</v>
      </c>
    </row>
    <row r="24" spans="1:2" s="202" customFormat="1">
      <c r="A24" s="245" t="s">
        <v>1073</v>
      </c>
      <c r="B24" s="244" t="s">
        <v>1074</v>
      </c>
    </row>
    <row r="25" spans="1:2" s="202" customFormat="1">
      <c r="A25" s="245" t="s">
        <v>2030</v>
      </c>
      <c r="B25" s="244" t="s">
        <v>2031</v>
      </c>
    </row>
    <row r="26" spans="1:2" s="202" customFormat="1">
      <c r="A26" s="245" t="s">
        <v>2032</v>
      </c>
      <c r="B26" s="244" t="s">
        <v>2033</v>
      </c>
    </row>
    <row r="27" spans="1:2" s="202" customFormat="1">
      <c r="A27" s="245" t="s">
        <v>2034</v>
      </c>
      <c r="B27" s="244" t="s">
        <v>2035</v>
      </c>
    </row>
    <row r="28" spans="1:2" s="202" customFormat="1">
      <c r="A28" s="245" t="s">
        <v>2036</v>
      </c>
      <c r="B28" s="244" t="s">
        <v>2037</v>
      </c>
    </row>
    <row r="29" spans="1:2" s="202" customFormat="1">
      <c r="A29" s="245" t="s">
        <v>2038</v>
      </c>
      <c r="B29" s="244" t="s">
        <v>2039</v>
      </c>
    </row>
    <row r="30" spans="1:2" s="202" customFormat="1">
      <c r="A30" s="245" t="s">
        <v>2040</v>
      </c>
      <c r="B30" s="244" t="s">
        <v>2041</v>
      </c>
    </row>
    <row r="31" spans="1:2" s="202" customFormat="1">
      <c r="A31" s="245" t="s">
        <v>1827</v>
      </c>
      <c r="B31" s="244" t="s">
        <v>1828</v>
      </c>
    </row>
    <row r="32" spans="1:2" s="202" customFormat="1">
      <c r="A32" s="245" t="s">
        <v>1829</v>
      </c>
      <c r="B32" s="244" t="s">
        <v>1830</v>
      </c>
    </row>
    <row r="33" spans="1:2" s="202" customFormat="1" ht="25.5">
      <c r="A33" s="245" t="s">
        <v>2042</v>
      </c>
      <c r="B33" s="244" t="s">
        <v>2043</v>
      </c>
    </row>
    <row r="34" spans="1:2" s="202" customFormat="1">
      <c r="A34" s="245" t="s">
        <v>2044</v>
      </c>
      <c r="B34" s="244" t="s">
        <v>2045</v>
      </c>
    </row>
    <row r="35" spans="1:2" s="202" customFormat="1">
      <c r="A35" s="245" t="s">
        <v>2046</v>
      </c>
      <c r="B35" s="244" t="s">
        <v>2047</v>
      </c>
    </row>
    <row r="36" spans="1:2" s="202" customFormat="1">
      <c r="A36" s="245" t="s">
        <v>2048</v>
      </c>
      <c r="B36" s="244" t="s">
        <v>2049</v>
      </c>
    </row>
    <row r="37" spans="1:2" s="202" customFormat="1">
      <c r="A37" s="245" t="s">
        <v>2050</v>
      </c>
      <c r="B37" s="244" t="s">
        <v>1058</v>
      </c>
    </row>
    <row r="38" spans="1:2" s="202" customFormat="1">
      <c r="A38" s="245" t="s">
        <v>1831</v>
      </c>
      <c r="B38" s="244" t="s">
        <v>1832</v>
      </c>
    </row>
    <row r="39" spans="1:2" s="202" customFormat="1">
      <c r="A39" s="245" t="s">
        <v>2051</v>
      </c>
      <c r="B39" s="244" t="s">
        <v>2052</v>
      </c>
    </row>
    <row r="40" spans="1:2" s="202" customFormat="1">
      <c r="A40" s="245" t="s">
        <v>2053</v>
      </c>
      <c r="B40" s="244" t="s">
        <v>2054</v>
      </c>
    </row>
    <row r="41" spans="1:2" s="202" customFormat="1">
      <c r="A41" s="245" t="s">
        <v>2055</v>
      </c>
      <c r="B41" s="244" t="s">
        <v>2056</v>
      </c>
    </row>
    <row r="42" spans="1:2" s="202" customFormat="1">
      <c r="A42" s="245" t="s">
        <v>2057</v>
      </c>
      <c r="B42" s="244" t="s">
        <v>1058</v>
      </c>
    </row>
    <row r="43" spans="1:2" s="202" customFormat="1">
      <c r="A43" s="245" t="s">
        <v>1833</v>
      </c>
      <c r="B43" s="244" t="s">
        <v>1259</v>
      </c>
    </row>
    <row r="44" spans="1:2" s="202" customFormat="1">
      <c r="A44" s="245" t="s">
        <v>2058</v>
      </c>
      <c r="B44" s="244" t="s">
        <v>2059</v>
      </c>
    </row>
    <row r="45" spans="1:2" s="202" customFormat="1">
      <c r="A45" s="245" t="s">
        <v>1834</v>
      </c>
      <c r="B45" s="244" t="s">
        <v>1835</v>
      </c>
    </row>
    <row r="46" spans="1:2" s="202" customFormat="1">
      <c r="A46" s="245" t="s">
        <v>2060</v>
      </c>
      <c r="B46" s="244" t="s">
        <v>2061</v>
      </c>
    </row>
    <row r="47" spans="1:2" s="202" customFormat="1">
      <c r="A47" s="245" t="s">
        <v>2062</v>
      </c>
      <c r="B47" s="244" t="s">
        <v>2063</v>
      </c>
    </row>
    <row r="48" spans="1:2" s="202" customFormat="1">
      <c r="A48" s="245" t="s">
        <v>2064</v>
      </c>
      <c r="B48" s="244" t="s">
        <v>2065</v>
      </c>
    </row>
    <row r="49" spans="1:2" s="202" customFormat="1">
      <c r="A49" s="245" t="s">
        <v>2066</v>
      </c>
      <c r="B49" s="244" t="s">
        <v>2067</v>
      </c>
    </row>
    <row r="50" spans="1:2" s="202" customFormat="1">
      <c r="A50" s="245" t="s">
        <v>2068</v>
      </c>
      <c r="B50" s="244" t="s">
        <v>2069</v>
      </c>
    </row>
    <row r="51" spans="1:2" s="202" customFormat="1">
      <c r="A51" s="245" t="s">
        <v>2070</v>
      </c>
      <c r="B51" s="244" t="s">
        <v>2071</v>
      </c>
    </row>
    <row r="52" spans="1:2" s="202" customFormat="1">
      <c r="A52" s="245" t="s">
        <v>2072</v>
      </c>
      <c r="B52" s="244" t="s">
        <v>2073</v>
      </c>
    </row>
    <row r="53" spans="1:2" s="202" customFormat="1">
      <c r="A53" s="245" t="s">
        <v>2074</v>
      </c>
      <c r="B53" s="244" t="s">
        <v>2075</v>
      </c>
    </row>
    <row r="54" spans="1:2" s="202" customFormat="1">
      <c r="A54" s="245" t="s">
        <v>2076</v>
      </c>
      <c r="B54" s="244" t="s">
        <v>2077</v>
      </c>
    </row>
    <row r="55" spans="1:2" s="202" customFormat="1">
      <c r="A55" s="245" t="s">
        <v>2078</v>
      </c>
      <c r="B55" s="244" t="s">
        <v>2079</v>
      </c>
    </row>
    <row r="56" spans="1:2" s="202" customFormat="1">
      <c r="A56" s="245" t="s">
        <v>2080</v>
      </c>
      <c r="B56" s="244" t="s">
        <v>2081</v>
      </c>
    </row>
    <row r="57" spans="1:2" s="202" customFormat="1">
      <c r="A57" s="245" t="s">
        <v>2082</v>
      </c>
      <c r="B57" s="244" t="s">
        <v>2083</v>
      </c>
    </row>
    <row r="58" spans="1:2" s="202" customFormat="1">
      <c r="A58" s="245" t="s">
        <v>2084</v>
      </c>
      <c r="B58" s="244" t="s">
        <v>2085</v>
      </c>
    </row>
    <row r="59" spans="1:2" s="202" customFormat="1">
      <c r="A59" s="245" t="s">
        <v>2087</v>
      </c>
      <c r="B59" s="244" t="s">
        <v>2088</v>
      </c>
    </row>
    <row r="60" spans="1:2" s="202" customFormat="1">
      <c r="A60" s="245" t="s">
        <v>2089</v>
      </c>
      <c r="B60" s="244" t="s">
        <v>2090</v>
      </c>
    </row>
    <row r="61" spans="1:2" s="202" customFormat="1">
      <c r="A61" s="245" t="s">
        <v>2091</v>
      </c>
      <c r="B61" s="244" t="s">
        <v>2092</v>
      </c>
    </row>
    <row r="62" spans="1:2" s="202" customFormat="1">
      <c r="A62" s="245" t="s">
        <v>2093</v>
      </c>
      <c r="B62" s="244" t="s">
        <v>2094</v>
      </c>
    </row>
    <row r="63" spans="1:2" s="202" customFormat="1">
      <c r="A63" s="245" t="s">
        <v>2095</v>
      </c>
      <c r="B63" s="244" t="s">
        <v>2096</v>
      </c>
    </row>
    <row r="64" spans="1:2" s="202" customFormat="1">
      <c r="A64" s="245" t="s">
        <v>2097</v>
      </c>
      <c r="B64" s="244" t="s">
        <v>2098</v>
      </c>
    </row>
    <row r="65" spans="1:2" s="202" customFormat="1">
      <c r="A65" s="245" t="s">
        <v>2101</v>
      </c>
      <c r="B65" s="244" t="s">
        <v>2102</v>
      </c>
    </row>
    <row r="66" spans="1:2" s="202" customFormat="1" ht="25.5">
      <c r="A66" s="245" t="s">
        <v>1082</v>
      </c>
      <c r="B66" s="244" t="s">
        <v>1083</v>
      </c>
    </row>
    <row r="67" spans="1:2" s="202" customFormat="1">
      <c r="A67" s="245" t="s">
        <v>1084</v>
      </c>
      <c r="B67" s="244" t="s">
        <v>1085</v>
      </c>
    </row>
    <row r="68" spans="1:2" s="202" customFormat="1" ht="25.5">
      <c r="A68" s="245" t="s">
        <v>2103</v>
      </c>
      <c r="B68" s="244" t="s">
        <v>2104</v>
      </c>
    </row>
    <row r="69" spans="1:2" s="202" customFormat="1">
      <c r="A69" s="245" t="s">
        <v>2105</v>
      </c>
      <c r="B69" s="244" t="s">
        <v>2106</v>
      </c>
    </row>
    <row r="70" spans="1:2" s="202" customFormat="1">
      <c r="A70" s="245" t="s">
        <v>2107</v>
      </c>
      <c r="B70" s="244" t="s">
        <v>2108</v>
      </c>
    </row>
    <row r="71" spans="1:2" s="202" customFormat="1">
      <c r="A71" s="245" t="s">
        <v>2109</v>
      </c>
      <c r="B71" s="244" t="s">
        <v>2110</v>
      </c>
    </row>
    <row r="72" spans="1:2" s="202" customFormat="1">
      <c r="A72" s="245" t="s">
        <v>1836</v>
      </c>
      <c r="B72" s="244" t="s">
        <v>1837</v>
      </c>
    </row>
    <row r="73" spans="1:2" s="202" customFormat="1">
      <c r="A73" s="245" t="s">
        <v>2111</v>
      </c>
      <c r="B73" s="244" t="s">
        <v>2112</v>
      </c>
    </row>
    <row r="74" spans="1:2" s="202" customFormat="1">
      <c r="A74" s="245" t="s">
        <v>2113</v>
      </c>
      <c r="B74" s="244" t="s">
        <v>2114</v>
      </c>
    </row>
    <row r="75" spans="1:2" s="202" customFormat="1">
      <c r="A75" s="245" t="s">
        <v>2115</v>
      </c>
      <c r="B75" s="244" t="s">
        <v>2116</v>
      </c>
    </row>
    <row r="76" spans="1:2" s="202" customFormat="1">
      <c r="A76" s="245" t="s">
        <v>2117</v>
      </c>
      <c r="B76" s="244" t="s">
        <v>2118</v>
      </c>
    </row>
    <row r="77" spans="1:2" s="202" customFormat="1">
      <c r="A77" s="245" t="s">
        <v>2119</v>
      </c>
      <c r="B77" s="244" t="s">
        <v>2120</v>
      </c>
    </row>
    <row r="78" spans="1:2" s="202" customFormat="1">
      <c r="A78" s="245" t="s">
        <v>2121</v>
      </c>
      <c r="B78" s="244" t="s">
        <v>2122</v>
      </c>
    </row>
    <row r="79" spans="1:2" s="202" customFormat="1">
      <c r="A79" s="245" t="s">
        <v>2135</v>
      </c>
      <c r="B79" s="244" t="s">
        <v>2136</v>
      </c>
    </row>
    <row r="80" spans="1:2" s="202" customFormat="1">
      <c r="A80" s="245" t="s">
        <v>1838</v>
      </c>
      <c r="B80" s="244" t="s">
        <v>1839</v>
      </c>
    </row>
    <row r="81" spans="1:2" s="202" customFormat="1">
      <c r="A81" s="245" t="s">
        <v>1075</v>
      </c>
      <c r="B81" s="244" t="s">
        <v>1076</v>
      </c>
    </row>
    <row r="82" spans="1:2" s="202" customFormat="1">
      <c r="A82" s="245" t="s">
        <v>1077</v>
      </c>
      <c r="B82" s="244" t="s">
        <v>1078</v>
      </c>
    </row>
    <row r="83" spans="1:2" s="202" customFormat="1">
      <c r="A83" s="245" t="s">
        <v>1086</v>
      </c>
      <c r="B83" s="244" t="s">
        <v>1087</v>
      </c>
    </row>
    <row r="84" spans="1:2" s="202" customFormat="1">
      <c r="A84" s="245" t="s">
        <v>1840</v>
      </c>
      <c r="B84" s="244" t="s">
        <v>1841</v>
      </c>
    </row>
    <row r="85" spans="1:2" s="202" customFormat="1">
      <c r="A85" s="245" t="s">
        <v>2137</v>
      </c>
      <c r="B85" s="244" t="s">
        <v>2138</v>
      </c>
    </row>
    <row r="86" spans="1:2" s="202" customFormat="1" ht="25.5">
      <c r="A86" s="245" t="s">
        <v>1842</v>
      </c>
      <c r="B86" s="244" t="s">
        <v>1843</v>
      </c>
    </row>
    <row r="87" spans="1:2" s="202" customFormat="1">
      <c r="A87" s="245" t="s">
        <v>2139</v>
      </c>
      <c r="B87" s="244" t="s">
        <v>2140</v>
      </c>
    </row>
    <row r="88" spans="1:2" s="202" customFormat="1">
      <c r="A88" s="245" t="s">
        <v>2141</v>
      </c>
      <c r="B88" s="244" t="s">
        <v>2142</v>
      </c>
    </row>
    <row r="89" spans="1:2" s="202" customFormat="1">
      <c r="A89" s="245" t="s">
        <v>2143</v>
      </c>
      <c r="B89" s="244" t="s">
        <v>2144</v>
      </c>
    </row>
    <row r="90" spans="1:2" s="202" customFormat="1">
      <c r="A90" s="245" t="s">
        <v>2145</v>
      </c>
      <c r="B90" s="244" t="s">
        <v>2146</v>
      </c>
    </row>
    <row r="91" spans="1:2" s="202" customFormat="1">
      <c r="A91" s="245" t="s">
        <v>2147</v>
      </c>
      <c r="B91" s="244" t="s">
        <v>2148</v>
      </c>
    </row>
    <row r="92" spans="1:2" s="202" customFormat="1">
      <c r="A92" s="245" t="s">
        <v>2149</v>
      </c>
      <c r="B92" s="244" t="s">
        <v>2150</v>
      </c>
    </row>
    <row r="93" spans="1:2" s="202" customFormat="1">
      <c r="A93" s="245" t="s">
        <v>2151</v>
      </c>
      <c r="B93" s="244" t="s">
        <v>2152</v>
      </c>
    </row>
    <row r="94" spans="1:2" s="202" customFormat="1">
      <c r="A94" s="245" t="s">
        <v>2153</v>
      </c>
      <c r="B94" s="244" t="s">
        <v>2154</v>
      </c>
    </row>
    <row r="95" spans="1:2" s="202" customFormat="1">
      <c r="A95" s="245" t="s">
        <v>1844</v>
      </c>
      <c r="B95" s="244" t="s">
        <v>1845</v>
      </c>
    </row>
    <row r="96" spans="1:2" s="202" customFormat="1">
      <c r="A96" s="245" t="s">
        <v>2155</v>
      </c>
      <c r="B96" s="244" t="s">
        <v>2156</v>
      </c>
    </row>
    <row r="97" spans="1:2" s="202" customFormat="1">
      <c r="A97" s="245" t="s">
        <v>1091</v>
      </c>
      <c r="B97" s="244" t="s">
        <v>1092</v>
      </c>
    </row>
    <row r="98" spans="1:2" s="202" customFormat="1">
      <c r="A98" s="245" t="s">
        <v>1846</v>
      </c>
      <c r="B98" s="244" t="s">
        <v>1847</v>
      </c>
    </row>
    <row r="99" spans="1:2" s="202" customFormat="1">
      <c r="A99" s="245" t="s">
        <v>1088</v>
      </c>
      <c r="B99" s="244" t="s">
        <v>1089</v>
      </c>
    </row>
    <row r="100" spans="1:2" s="202" customFormat="1">
      <c r="A100" s="245" t="s">
        <v>1079</v>
      </c>
      <c r="B100" s="244" t="s">
        <v>1080</v>
      </c>
    </row>
    <row r="101" spans="1:2" s="202" customFormat="1">
      <c r="A101" s="245" t="s">
        <v>1848</v>
      </c>
      <c r="B101" s="244" t="s">
        <v>1849</v>
      </c>
    </row>
    <row r="102" spans="1:2" s="202" customFormat="1">
      <c r="A102" s="245" t="s">
        <v>1902</v>
      </c>
      <c r="B102" s="244" t="s">
        <v>1903</v>
      </c>
    </row>
    <row r="103" spans="1:2" s="202" customFormat="1">
      <c r="A103" s="245" t="s">
        <v>2157</v>
      </c>
      <c r="B103" s="244" t="s">
        <v>2158</v>
      </c>
    </row>
    <row r="104" spans="1:2" s="202" customFormat="1">
      <c r="A104" s="245" t="s">
        <v>2159</v>
      </c>
      <c r="B104" s="244" t="s">
        <v>2160</v>
      </c>
    </row>
    <row r="105" spans="1:2" s="202" customFormat="1">
      <c r="A105" s="245" t="s">
        <v>2161</v>
      </c>
      <c r="B105" s="244" t="s">
        <v>2162</v>
      </c>
    </row>
    <row r="106" spans="1:2" s="202" customFormat="1" ht="25.5">
      <c r="A106" s="245" t="s">
        <v>2163</v>
      </c>
      <c r="B106" s="244" t="s">
        <v>2164</v>
      </c>
    </row>
    <row r="107" spans="1:2" s="202" customFormat="1">
      <c r="A107" s="245" t="s">
        <v>1850</v>
      </c>
      <c r="B107" s="244" t="s">
        <v>1851</v>
      </c>
    </row>
    <row r="108" spans="1:2" s="202" customFormat="1">
      <c r="A108" s="245" t="s">
        <v>1910</v>
      </c>
      <c r="B108" s="244" t="s">
        <v>2165</v>
      </c>
    </row>
    <row r="109" spans="1:2" s="202" customFormat="1">
      <c r="A109" s="245" t="s">
        <v>2166</v>
      </c>
      <c r="B109" s="244" t="s">
        <v>2167</v>
      </c>
    </row>
    <row r="110" spans="1:2" s="202" customFormat="1">
      <c r="A110" s="245" t="s">
        <v>2168</v>
      </c>
      <c r="B110" s="244" t="s">
        <v>2169</v>
      </c>
    </row>
    <row r="111" spans="1:2" s="202" customFormat="1">
      <c r="A111" s="245" t="s">
        <v>1852</v>
      </c>
      <c r="B111" s="244" t="s">
        <v>1853</v>
      </c>
    </row>
    <row r="112" spans="1:2" s="202" customFormat="1">
      <c r="A112" s="245" t="s">
        <v>2170</v>
      </c>
      <c r="B112" s="244" t="s">
        <v>2171</v>
      </c>
    </row>
    <row r="113" spans="1:3" s="202" customFormat="1" ht="25.5">
      <c r="A113" s="245" t="s">
        <v>2172</v>
      </c>
      <c r="B113" s="244" t="s">
        <v>2173</v>
      </c>
    </row>
    <row r="114" spans="1:3" s="202" customFormat="1">
      <c r="A114" s="245" t="s">
        <v>2190</v>
      </c>
      <c r="B114" s="244" t="s">
        <v>2191</v>
      </c>
    </row>
    <row r="115" spans="1:3" s="202" customFormat="1">
      <c r="A115" s="245" t="s">
        <v>2192</v>
      </c>
      <c r="B115" s="244" t="s">
        <v>2193</v>
      </c>
    </row>
    <row r="116" spans="1:3" s="202" customFormat="1">
      <c r="A116" s="245" t="s">
        <v>2194</v>
      </c>
      <c r="B116" s="244" t="s">
        <v>2195</v>
      </c>
    </row>
    <row r="117" spans="1:3" s="202" customFormat="1">
      <c r="A117" s="245" t="s">
        <v>2196</v>
      </c>
      <c r="B117" s="244" t="s">
        <v>2197</v>
      </c>
    </row>
    <row r="118" spans="1:3" s="257" customFormat="1">
      <c r="A118" s="255" t="s">
        <v>1090</v>
      </c>
      <c r="B118" s="256" t="s">
        <v>1854</v>
      </c>
      <c r="C118" s="257" t="s">
        <v>3497</v>
      </c>
    </row>
    <row r="119" spans="1:3" s="202" customFormat="1">
      <c r="A119" s="245" t="s">
        <v>2198</v>
      </c>
      <c r="B119" s="244" t="s">
        <v>2199</v>
      </c>
    </row>
    <row r="120" spans="1:3" s="202" customFormat="1">
      <c r="A120" s="245" t="s">
        <v>2200</v>
      </c>
      <c r="B120" s="244" t="s">
        <v>2201</v>
      </c>
    </row>
    <row r="121" spans="1:3" s="202" customFormat="1">
      <c r="A121" s="245" t="s">
        <v>2202</v>
      </c>
      <c r="B121" s="244" t="s">
        <v>2203</v>
      </c>
    </row>
    <row r="122" spans="1:3" s="202" customFormat="1">
      <c r="A122" s="245" t="s">
        <v>2204</v>
      </c>
      <c r="B122" s="244" t="s">
        <v>2205</v>
      </c>
    </row>
    <row r="123" spans="1:3" s="202" customFormat="1">
      <c r="A123" s="245" t="s">
        <v>2206</v>
      </c>
      <c r="B123" s="244" t="s">
        <v>2207</v>
      </c>
    </row>
    <row r="124" spans="1:3" s="202" customFormat="1">
      <c r="A124" s="245" t="s">
        <v>2208</v>
      </c>
      <c r="B124" s="244" t="s">
        <v>2209</v>
      </c>
    </row>
    <row r="125" spans="1:3" s="202" customFormat="1">
      <c r="A125" s="245" t="s">
        <v>2210</v>
      </c>
      <c r="B125" s="244" t="s">
        <v>2211</v>
      </c>
    </row>
    <row r="126" spans="1:3" s="202" customFormat="1">
      <c r="A126" s="245" t="s">
        <v>2218</v>
      </c>
      <c r="B126" s="244" t="s">
        <v>2219</v>
      </c>
    </row>
    <row r="127" spans="1:3" s="202" customFormat="1">
      <c r="A127" s="245" t="s">
        <v>2220</v>
      </c>
      <c r="B127" s="244" t="s">
        <v>2221</v>
      </c>
    </row>
    <row r="128" spans="1:3" s="202" customFormat="1" ht="25.5">
      <c r="A128" s="245" t="s">
        <v>2222</v>
      </c>
      <c r="B128" s="244" t="s">
        <v>2223</v>
      </c>
    </row>
    <row r="129" spans="1:3" s="202" customFormat="1">
      <c r="A129" s="245" t="s">
        <v>2230</v>
      </c>
      <c r="B129" s="244" t="s">
        <v>2231</v>
      </c>
    </row>
    <row r="130" spans="1:3" s="202" customFormat="1">
      <c r="A130" s="245" t="s">
        <v>2232</v>
      </c>
      <c r="B130" s="244" t="s">
        <v>2233</v>
      </c>
    </row>
    <row r="131" spans="1:3" s="202" customFormat="1">
      <c r="A131" s="245" t="s">
        <v>2236</v>
      </c>
      <c r="B131" s="244" t="s">
        <v>2237</v>
      </c>
    </row>
    <row r="132" spans="1:3" s="202" customFormat="1">
      <c r="A132" s="245" t="s">
        <v>1855</v>
      </c>
      <c r="B132" s="244" t="s">
        <v>1856</v>
      </c>
    </row>
    <row r="133" spans="1:3" s="202" customFormat="1">
      <c r="A133" s="245" t="s">
        <v>2238</v>
      </c>
      <c r="B133" s="244" t="s">
        <v>2213</v>
      </c>
    </row>
    <row r="134" spans="1:3" s="202" customFormat="1" ht="25.5">
      <c r="A134" s="245" t="s">
        <v>2239</v>
      </c>
      <c r="B134" s="244" t="s">
        <v>2240</v>
      </c>
    </row>
    <row r="135" spans="1:3" s="257" customFormat="1">
      <c r="A135" s="255" t="s">
        <v>1081</v>
      </c>
      <c r="B135" s="256" t="s">
        <v>1139</v>
      </c>
      <c r="C135" s="257" t="s">
        <v>3497</v>
      </c>
    </row>
    <row r="136" spans="1:3">
      <c r="A136" s="243" t="s">
        <v>48</v>
      </c>
      <c r="B136" s="242" t="s">
        <v>49</v>
      </c>
    </row>
    <row r="137" spans="1:3" s="202" customFormat="1">
      <c r="A137" s="245" t="s">
        <v>52</v>
      </c>
      <c r="B137" s="244" t="s">
        <v>53</v>
      </c>
    </row>
    <row r="138" spans="1:3" s="202" customFormat="1">
      <c r="A138" s="245" t="s">
        <v>62</v>
      </c>
      <c r="B138" s="244" t="s">
        <v>63</v>
      </c>
    </row>
    <row r="139" spans="1:3" s="202" customFormat="1">
      <c r="A139" s="245" t="s">
        <v>65</v>
      </c>
      <c r="B139" s="244" t="s">
        <v>66</v>
      </c>
    </row>
    <row r="140" spans="1:3" s="202" customFormat="1">
      <c r="A140" s="245" t="s">
        <v>67</v>
      </c>
      <c r="B140" s="244" t="s">
        <v>68</v>
      </c>
    </row>
    <row r="141" spans="1:3" s="202" customFormat="1">
      <c r="A141" s="245" t="s">
        <v>777</v>
      </c>
      <c r="B141" s="244" t="s">
        <v>778</v>
      </c>
    </row>
    <row r="142" spans="1:3" s="202" customFormat="1">
      <c r="A142" s="245" t="s">
        <v>72</v>
      </c>
      <c r="B142" s="244" t="s">
        <v>73</v>
      </c>
    </row>
    <row r="143" spans="1:3" s="202" customFormat="1">
      <c r="A143" s="245" t="s">
        <v>74</v>
      </c>
      <c r="B143" s="244" t="s">
        <v>75</v>
      </c>
    </row>
    <row r="144" spans="1:3" s="202" customFormat="1">
      <c r="A144" s="245" t="s">
        <v>76</v>
      </c>
      <c r="B144" s="244" t="s">
        <v>77</v>
      </c>
    </row>
    <row r="145" spans="1:3" s="202" customFormat="1">
      <c r="A145" s="245" t="s">
        <v>79</v>
      </c>
      <c r="B145" s="244" t="s">
        <v>80</v>
      </c>
    </row>
    <row r="146" spans="1:3" s="202" customFormat="1">
      <c r="A146" s="245" t="s">
        <v>781</v>
      </c>
      <c r="B146" s="244" t="s">
        <v>782</v>
      </c>
    </row>
    <row r="147" spans="1:3" s="202" customFormat="1">
      <c r="A147" s="245" t="s">
        <v>2086</v>
      </c>
      <c r="B147" s="244" t="s">
        <v>1058</v>
      </c>
    </row>
    <row r="148" spans="1:3" s="202" customFormat="1">
      <c r="A148" s="245" t="s">
        <v>1059</v>
      </c>
      <c r="B148" s="244" t="s">
        <v>1060</v>
      </c>
    </row>
    <row r="149" spans="1:3" s="202" customFormat="1">
      <c r="A149" s="245" t="s">
        <v>783</v>
      </c>
      <c r="B149" s="244" t="s">
        <v>784</v>
      </c>
    </row>
    <row r="150" spans="1:3" s="202" customFormat="1">
      <c r="A150" s="245" t="s">
        <v>775</v>
      </c>
      <c r="B150" s="244" t="s">
        <v>776</v>
      </c>
    </row>
    <row r="151" spans="1:3" s="257" customFormat="1">
      <c r="A151" s="255" t="s">
        <v>96</v>
      </c>
      <c r="B151" s="256" t="s">
        <v>1944</v>
      </c>
      <c r="C151" s="257" t="s">
        <v>3497</v>
      </c>
    </row>
    <row r="152" spans="1:3" s="257" customFormat="1">
      <c r="A152" s="255" t="s">
        <v>121</v>
      </c>
      <c r="B152" s="256" t="s">
        <v>1945</v>
      </c>
      <c r="C152" s="257" t="s">
        <v>3497</v>
      </c>
    </row>
    <row r="153" spans="1:3" s="257" customFormat="1">
      <c r="A153" s="255" t="s">
        <v>2123</v>
      </c>
      <c r="B153" s="256" t="s">
        <v>2124</v>
      </c>
      <c r="C153" s="257" t="s">
        <v>3497</v>
      </c>
    </row>
    <row r="154" spans="1:3" s="257" customFormat="1">
      <c r="A154" s="255" t="s">
        <v>128</v>
      </c>
      <c r="B154" s="256" t="s">
        <v>1946</v>
      </c>
      <c r="C154" s="257" t="s">
        <v>3497</v>
      </c>
    </row>
    <row r="155" spans="1:3" s="257" customFormat="1">
      <c r="A155" s="255" t="s">
        <v>134</v>
      </c>
      <c r="B155" s="256" t="s">
        <v>1947</v>
      </c>
      <c r="C155" s="257" t="s">
        <v>3497</v>
      </c>
    </row>
    <row r="156" spans="1:3" s="257" customFormat="1">
      <c r="A156" s="255" t="s">
        <v>136</v>
      </c>
      <c r="B156" s="256" t="s">
        <v>1948</v>
      </c>
      <c r="C156" s="257" t="s">
        <v>3497</v>
      </c>
    </row>
    <row r="157" spans="1:3" s="257" customFormat="1">
      <c r="A157" s="255" t="s">
        <v>138</v>
      </c>
      <c r="B157" s="256" t="s">
        <v>2125</v>
      </c>
      <c r="C157" s="257" t="s">
        <v>3497</v>
      </c>
    </row>
    <row r="158" spans="1:3" s="257" customFormat="1">
      <c r="A158" s="255" t="s">
        <v>142</v>
      </c>
      <c r="B158" s="256" t="s">
        <v>2126</v>
      </c>
      <c r="C158" s="257" t="s">
        <v>3497</v>
      </c>
    </row>
    <row r="159" spans="1:3" s="202" customFormat="1">
      <c r="A159" s="245" t="s">
        <v>1857</v>
      </c>
      <c r="B159" s="244" t="s">
        <v>1858</v>
      </c>
    </row>
    <row r="160" spans="1:3" s="202" customFormat="1">
      <c r="A160" s="245" t="s">
        <v>146</v>
      </c>
      <c r="B160" s="244" t="s">
        <v>147</v>
      </c>
    </row>
    <row r="161" spans="1:3" s="257" customFormat="1">
      <c r="A161" s="255" t="s">
        <v>148</v>
      </c>
      <c r="B161" s="256" t="s">
        <v>1949</v>
      </c>
      <c r="C161" s="257" t="s">
        <v>3497</v>
      </c>
    </row>
    <row r="162" spans="1:3" s="202" customFormat="1">
      <c r="A162" s="245" t="s">
        <v>149</v>
      </c>
      <c r="B162" s="244" t="s">
        <v>1384</v>
      </c>
    </row>
    <row r="163" spans="1:3" s="202" customFormat="1">
      <c r="A163" s="245" t="s">
        <v>178</v>
      </c>
      <c r="B163" s="244" t="s">
        <v>1385</v>
      </c>
    </row>
    <row r="164" spans="1:3" s="202" customFormat="1">
      <c r="A164" s="245" t="s">
        <v>181</v>
      </c>
      <c r="B164" s="244" t="s">
        <v>1386</v>
      </c>
    </row>
    <row r="165" spans="1:3" s="202" customFormat="1">
      <c r="A165" s="245" t="s">
        <v>184</v>
      </c>
      <c r="B165" s="244" t="s">
        <v>1387</v>
      </c>
    </row>
    <row r="166" spans="1:3" s="202" customFormat="1">
      <c r="A166" s="245" t="s">
        <v>188</v>
      </c>
      <c r="B166" s="244" t="s">
        <v>1388</v>
      </c>
    </row>
    <row r="167" spans="1:3" s="202" customFormat="1">
      <c r="A167" s="245" t="s">
        <v>189</v>
      </c>
      <c r="B167" s="244" t="s">
        <v>1389</v>
      </c>
    </row>
    <row r="168" spans="1:3" s="202" customFormat="1">
      <c r="A168" s="245" t="s">
        <v>191</v>
      </c>
      <c r="B168" s="244" t="s">
        <v>1390</v>
      </c>
    </row>
    <row r="169" spans="1:3" s="202" customFormat="1">
      <c r="A169" s="245" t="s">
        <v>197</v>
      </c>
      <c r="B169" s="244" t="s">
        <v>1391</v>
      </c>
    </row>
    <row r="170" spans="1:3" s="202" customFormat="1">
      <c r="A170" s="245" t="s">
        <v>198</v>
      </c>
      <c r="B170" s="244" t="s">
        <v>1392</v>
      </c>
    </row>
    <row r="171" spans="1:3" s="202" customFormat="1">
      <c r="A171" s="245" t="s">
        <v>2127</v>
      </c>
      <c r="B171" s="244" t="s">
        <v>2128</v>
      </c>
    </row>
    <row r="172" spans="1:3" s="202" customFormat="1">
      <c r="A172" s="245" t="s">
        <v>773</v>
      </c>
      <c r="B172" s="244" t="s">
        <v>774</v>
      </c>
    </row>
    <row r="173" spans="1:3" s="202" customFormat="1">
      <c r="A173" s="245" t="s">
        <v>1859</v>
      </c>
      <c r="B173" s="244" t="s">
        <v>2129</v>
      </c>
    </row>
    <row r="174" spans="1:3" s="257" customFormat="1">
      <c r="A174" s="255" t="s">
        <v>1951</v>
      </c>
      <c r="B174" s="256" t="s">
        <v>2130</v>
      </c>
      <c r="C174" s="257" t="s">
        <v>3497</v>
      </c>
    </row>
    <row r="175" spans="1:3" s="202" customFormat="1">
      <c r="A175" s="245" t="s">
        <v>2131</v>
      </c>
      <c r="B175" s="244" t="s">
        <v>2132</v>
      </c>
    </row>
    <row r="176" spans="1:3" s="202" customFormat="1">
      <c r="A176" s="245" t="s">
        <v>2133</v>
      </c>
      <c r="B176" s="244" t="s">
        <v>2134</v>
      </c>
    </row>
    <row r="177" spans="1:3" s="202" customFormat="1">
      <c r="A177" s="245" t="s">
        <v>779</v>
      </c>
      <c r="B177" s="244" t="s">
        <v>780</v>
      </c>
    </row>
    <row r="178" spans="1:3" s="257" customFormat="1">
      <c r="A178" s="255" t="s">
        <v>258</v>
      </c>
      <c r="B178" s="256" t="s">
        <v>1854</v>
      </c>
      <c r="C178" s="257" t="s">
        <v>3497</v>
      </c>
    </row>
    <row r="179" spans="1:3" s="257" customFormat="1">
      <c r="A179" s="255" t="s">
        <v>786</v>
      </c>
      <c r="B179" s="256" t="s">
        <v>787</v>
      </c>
      <c r="C179" s="257" t="s">
        <v>3497</v>
      </c>
    </row>
    <row r="180" spans="1:3" s="257" customFormat="1">
      <c r="A180" s="255" t="s">
        <v>788</v>
      </c>
      <c r="B180" s="256" t="s">
        <v>789</v>
      </c>
      <c r="C180" s="257" t="s">
        <v>3497</v>
      </c>
    </row>
    <row r="181" spans="1:3" s="202" customFormat="1">
      <c r="A181" s="245" t="s">
        <v>2224</v>
      </c>
      <c r="B181" s="244" t="s">
        <v>2213</v>
      </c>
    </row>
    <row r="182" spans="1:3" s="202" customFormat="1">
      <c r="A182" s="245" t="s">
        <v>2225</v>
      </c>
      <c r="B182" s="244" t="s">
        <v>2215</v>
      </c>
    </row>
    <row r="183" spans="1:3" s="202" customFormat="1">
      <c r="A183" s="245" t="s">
        <v>2226</v>
      </c>
      <c r="B183" s="244" t="s">
        <v>2227</v>
      </c>
    </row>
    <row r="184" spans="1:3" s="202" customFormat="1">
      <c r="A184" s="245" t="s">
        <v>2228</v>
      </c>
      <c r="B184" s="244" t="s">
        <v>2229</v>
      </c>
    </row>
    <row r="185" spans="1:3">
      <c r="A185" s="243" t="s">
        <v>631</v>
      </c>
      <c r="B185" s="242" t="s">
        <v>1061</v>
      </c>
    </row>
    <row r="186" spans="1:3" s="202" customFormat="1">
      <c r="A186" s="245" t="s">
        <v>790</v>
      </c>
      <c r="B186" s="244" t="s">
        <v>791</v>
      </c>
    </row>
    <row r="187" spans="1:3" s="202" customFormat="1">
      <c r="A187" s="245" t="s">
        <v>792</v>
      </c>
      <c r="B187" s="244" t="s">
        <v>793</v>
      </c>
    </row>
    <row r="188" spans="1:3" s="202" customFormat="1">
      <c r="A188" s="245" t="s">
        <v>1062</v>
      </c>
      <c r="B188" s="244" t="s">
        <v>1063</v>
      </c>
    </row>
    <row r="189" spans="1:3" s="202" customFormat="1">
      <c r="A189" s="245" t="s">
        <v>794</v>
      </c>
      <c r="B189" s="244" t="s">
        <v>795</v>
      </c>
    </row>
    <row r="190" spans="1:3" s="202" customFormat="1">
      <c r="A190" s="245" t="s">
        <v>1064</v>
      </c>
      <c r="B190" s="244" t="s">
        <v>1058</v>
      </c>
    </row>
    <row r="191" spans="1:3" s="202" customFormat="1">
      <c r="A191" s="245" t="s">
        <v>796</v>
      </c>
      <c r="B191" s="244" t="s">
        <v>1950</v>
      </c>
    </row>
    <row r="192" spans="1:3" s="202" customFormat="1">
      <c r="A192" s="245" t="s">
        <v>797</v>
      </c>
      <c r="B192" s="244" t="s">
        <v>1393</v>
      </c>
    </row>
    <row r="193" spans="1:3" s="202" customFormat="1">
      <c r="A193" s="245" t="s">
        <v>798</v>
      </c>
      <c r="B193" s="244" t="s">
        <v>799</v>
      </c>
    </row>
    <row r="194" spans="1:3" s="202" customFormat="1">
      <c r="A194" s="245" t="s">
        <v>2099</v>
      </c>
      <c r="B194" s="244" t="s">
        <v>2100</v>
      </c>
    </row>
    <row r="195" spans="1:3" s="257" customFormat="1">
      <c r="A195" s="255" t="s">
        <v>800</v>
      </c>
      <c r="B195" s="256" t="s">
        <v>785</v>
      </c>
      <c r="C195" s="257" t="s">
        <v>3497</v>
      </c>
    </row>
    <row r="196" spans="1:3" s="202" customFormat="1">
      <c r="A196" s="245" t="s">
        <v>2212</v>
      </c>
      <c r="B196" s="244" t="s">
        <v>2213</v>
      </c>
    </row>
    <row r="197" spans="1:3" s="202" customFormat="1">
      <c r="A197" s="245" t="s">
        <v>2214</v>
      </c>
      <c r="B197" s="244" t="s">
        <v>2215</v>
      </c>
    </row>
    <row r="198" spans="1:3" s="202" customFormat="1">
      <c r="A198" s="245" t="s">
        <v>2216</v>
      </c>
      <c r="B198" s="244" t="s">
        <v>2217</v>
      </c>
    </row>
    <row r="199" spans="1:3">
      <c r="A199" s="243" t="s">
        <v>1093</v>
      </c>
      <c r="B199" s="242" t="s">
        <v>1094</v>
      </c>
    </row>
    <row r="200" spans="1:3" s="202" customFormat="1">
      <c r="A200" s="245" t="s">
        <v>1095</v>
      </c>
      <c r="B200" s="244" t="s">
        <v>1096</v>
      </c>
    </row>
    <row r="201" spans="1:3" s="202" customFormat="1">
      <c r="A201" s="245" t="s">
        <v>1097</v>
      </c>
      <c r="B201" s="244" t="s">
        <v>1098</v>
      </c>
    </row>
    <row r="202" spans="1:3">
      <c r="A202" s="243" t="s">
        <v>1099</v>
      </c>
      <c r="B202" s="242" t="s">
        <v>1100</v>
      </c>
    </row>
    <row r="203" spans="1:3" s="202" customFormat="1">
      <c r="A203" s="245" t="s">
        <v>1101</v>
      </c>
      <c r="B203" s="244" t="s">
        <v>1102</v>
      </c>
    </row>
    <row r="204" spans="1:3" s="202" customFormat="1">
      <c r="A204" s="245" t="s">
        <v>1103</v>
      </c>
      <c r="B204" s="244" t="s">
        <v>1104</v>
      </c>
    </row>
    <row r="205" spans="1:3" s="202" customFormat="1">
      <c r="A205" s="245" t="s">
        <v>1105</v>
      </c>
      <c r="B205" s="244" t="s">
        <v>1394</v>
      </c>
    </row>
    <row r="206" spans="1:3" s="202" customFormat="1">
      <c r="A206" s="245" t="s">
        <v>1106</v>
      </c>
      <c r="B206" s="244" t="s">
        <v>1107</v>
      </c>
    </row>
    <row r="207" spans="1:3">
      <c r="A207" s="243" t="s">
        <v>1108</v>
      </c>
      <c r="B207" s="242" t="s">
        <v>1109</v>
      </c>
    </row>
    <row r="208" spans="1:3" s="202" customFormat="1">
      <c r="A208" s="245" t="s">
        <v>1110</v>
      </c>
      <c r="B208" s="244" t="s">
        <v>1111</v>
      </c>
    </row>
    <row r="209" spans="1:3" s="202" customFormat="1">
      <c r="A209" s="245" t="s">
        <v>1112</v>
      </c>
      <c r="B209" s="244" t="s">
        <v>1113</v>
      </c>
    </row>
    <row r="210" spans="1:3" s="202" customFormat="1">
      <c r="A210" s="245" t="s">
        <v>1114</v>
      </c>
      <c r="B210" s="244" t="s">
        <v>1115</v>
      </c>
    </row>
    <row r="211" spans="1:3" s="202" customFormat="1" ht="25.5">
      <c r="A211" s="245" t="s">
        <v>1116</v>
      </c>
      <c r="B211" s="244" t="s">
        <v>1117</v>
      </c>
    </row>
    <row r="212" spans="1:3" s="202" customFormat="1">
      <c r="A212" s="245" t="s">
        <v>1118</v>
      </c>
      <c r="B212" s="244" t="s">
        <v>1119</v>
      </c>
    </row>
    <row r="213" spans="1:3" s="202" customFormat="1">
      <c r="A213" s="245" t="s">
        <v>1120</v>
      </c>
      <c r="B213" s="244" t="s">
        <v>1121</v>
      </c>
    </row>
    <row r="214" spans="1:3" s="202" customFormat="1">
      <c r="A214" s="245" t="s">
        <v>1122</v>
      </c>
      <c r="B214" s="244" t="s">
        <v>1123</v>
      </c>
    </row>
    <row r="215" spans="1:3" s="202" customFormat="1" ht="30" customHeight="1">
      <c r="A215" s="245" t="s">
        <v>1124</v>
      </c>
      <c r="B215" s="244" t="s">
        <v>1125</v>
      </c>
    </row>
    <row r="216" spans="1:3" s="202" customFormat="1">
      <c r="A216" s="245" t="s">
        <v>1126</v>
      </c>
      <c r="B216" s="244" t="s">
        <v>1127</v>
      </c>
    </row>
    <row r="217" spans="1:3" s="202" customFormat="1" ht="25.5">
      <c r="A217" s="245" t="s">
        <v>1128</v>
      </c>
      <c r="B217" s="244" t="s">
        <v>1129</v>
      </c>
    </row>
    <row r="218" spans="1:3" s="202" customFormat="1">
      <c r="A218" s="245" t="s">
        <v>1130</v>
      </c>
      <c r="B218" s="244" t="s">
        <v>1131</v>
      </c>
    </row>
    <row r="219" spans="1:3" s="202" customFormat="1">
      <c r="A219" s="245" t="s">
        <v>1860</v>
      </c>
      <c r="B219" s="244" t="s">
        <v>1861</v>
      </c>
    </row>
    <row r="220" spans="1:3" s="202" customFormat="1">
      <c r="A220" s="245" t="s">
        <v>1132</v>
      </c>
      <c r="B220" s="244" t="s">
        <v>1133</v>
      </c>
    </row>
    <row r="221" spans="1:3" s="202" customFormat="1">
      <c r="A221" s="245" t="s">
        <v>1134</v>
      </c>
      <c r="B221" s="244" t="s">
        <v>1135</v>
      </c>
    </row>
    <row r="222" spans="1:3" s="257" customFormat="1">
      <c r="A222" s="255" t="s">
        <v>1136</v>
      </c>
      <c r="B222" s="256" t="s">
        <v>1137</v>
      </c>
      <c r="C222" s="257" t="s">
        <v>3497</v>
      </c>
    </row>
    <row r="223" spans="1:3" s="257" customFormat="1">
      <c r="A223" s="255" t="s">
        <v>1138</v>
      </c>
      <c r="B223" s="256" t="s">
        <v>1139</v>
      </c>
      <c r="C223" s="257" t="s">
        <v>3497</v>
      </c>
    </row>
    <row r="224" spans="1:3">
      <c r="A224" s="243" t="s">
        <v>1140</v>
      </c>
      <c r="B224" s="242" t="s">
        <v>1141</v>
      </c>
    </row>
    <row r="225" spans="1:3" s="202" customFormat="1">
      <c r="A225" s="245" t="s">
        <v>1142</v>
      </c>
      <c r="B225" s="244" t="s">
        <v>1143</v>
      </c>
    </row>
    <row r="226" spans="1:3" s="202" customFormat="1">
      <c r="A226" s="245" t="s">
        <v>1144</v>
      </c>
      <c r="B226" s="244" t="s">
        <v>1396</v>
      </c>
    </row>
    <row r="227" spans="1:3">
      <c r="A227" s="243" t="s">
        <v>1145</v>
      </c>
      <c r="B227" s="242" t="s">
        <v>1146</v>
      </c>
    </row>
    <row r="228" spans="1:3" s="202" customFormat="1">
      <c r="A228" s="245" t="s">
        <v>1147</v>
      </c>
      <c r="B228" s="244" t="s">
        <v>1148</v>
      </c>
    </row>
    <row r="229" spans="1:3" s="202" customFormat="1">
      <c r="A229" s="245" t="s">
        <v>1149</v>
      </c>
      <c r="B229" s="244" t="s">
        <v>1395</v>
      </c>
    </row>
    <row r="230" spans="1:3" s="202" customFormat="1">
      <c r="A230" s="245" t="s">
        <v>1150</v>
      </c>
      <c r="B230" s="244" t="s">
        <v>1151</v>
      </c>
    </row>
    <row r="231" spans="1:3" s="202" customFormat="1">
      <c r="A231" s="245" t="s">
        <v>1152</v>
      </c>
      <c r="B231" s="244" t="s">
        <v>1397</v>
      </c>
    </row>
    <row r="232" spans="1:3" s="257" customFormat="1">
      <c r="A232" s="255" t="s">
        <v>1153</v>
      </c>
      <c r="B232" s="256" t="s">
        <v>1154</v>
      </c>
      <c r="C232" s="257" t="s">
        <v>3497</v>
      </c>
    </row>
    <row r="233" spans="1:3">
      <c r="A233" s="243" t="s">
        <v>1155</v>
      </c>
      <c r="B233" s="242" t="s">
        <v>1156</v>
      </c>
    </row>
    <row r="234" spans="1:3" s="202" customFormat="1" ht="25.5">
      <c r="A234" s="245" t="s">
        <v>1157</v>
      </c>
      <c r="B234" s="244" t="s">
        <v>1158</v>
      </c>
    </row>
    <row r="235" spans="1:3" s="202" customFormat="1">
      <c r="A235" s="245" t="s">
        <v>1159</v>
      </c>
      <c r="B235" s="244" t="s">
        <v>1160</v>
      </c>
    </row>
    <row r="236" spans="1:3" s="202" customFormat="1">
      <c r="A236" s="245" t="s">
        <v>1161</v>
      </c>
      <c r="B236" s="244" t="s">
        <v>1162</v>
      </c>
    </row>
    <row r="237" spans="1:3" s="202" customFormat="1">
      <c r="A237" s="245" t="s">
        <v>1163</v>
      </c>
      <c r="B237" s="244" t="s">
        <v>1164</v>
      </c>
    </row>
    <row r="238" spans="1:3" s="202" customFormat="1">
      <c r="A238" s="245" t="s">
        <v>1862</v>
      </c>
      <c r="B238" s="244" t="s">
        <v>1863</v>
      </c>
    </row>
    <row r="239" spans="1:3" s="202" customFormat="1">
      <c r="A239" s="245" t="s">
        <v>1165</v>
      </c>
      <c r="B239" s="244" t="s">
        <v>1166</v>
      </c>
    </row>
    <row r="240" spans="1:3" s="202" customFormat="1">
      <c r="A240" s="245" t="s">
        <v>2234</v>
      </c>
      <c r="B240" s="244" t="s">
        <v>2235</v>
      </c>
    </row>
    <row r="241" spans="1:2" s="202" customFormat="1">
      <c r="A241" s="245" t="s">
        <v>1864</v>
      </c>
      <c r="B241" s="244" t="s">
        <v>787</v>
      </c>
    </row>
    <row r="242" spans="1:2">
      <c r="A242" s="243" t="s">
        <v>1167</v>
      </c>
      <c r="B242" s="242" t="s">
        <v>1168</v>
      </c>
    </row>
    <row r="243" spans="1:2" s="202" customFormat="1">
      <c r="A243" s="245" t="s">
        <v>1169</v>
      </c>
      <c r="B243" s="244" t="s">
        <v>1170</v>
      </c>
    </row>
    <row r="244" spans="1:2" s="202" customFormat="1">
      <c r="A244" s="245" t="s">
        <v>1171</v>
      </c>
      <c r="B244" s="244" t="s">
        <v>1172</v>
      </c>
    </row>
    <row r="245" spans="1:2" s="202" customFormat="1">
      <c r="A245" s="245" t="s">
        <v>1173</v>
      </c>
      <c r="B245" s="244" t="s">
        <v>1174</v>
      </c>
    </row>
    <row r="246" spans="1:2" s="202" customFormat="1">
      <c r="A246" s="245" t="s">
        <v>1175</v>
      </c>
      <c r="B246" s="244" t="s">
        <v>1176</v>
      </c>
    </row>
    <row r="247" spans="1:2" s="202" customFormat="1">
      <c r="A247" s="245" t="s">
        <v>1177</v>
      </c>
      <c r="B247" s="244" t="s">
        <v>1178</v>
      </c>
    </row>
    <row r="248" spans="1:2" s="202" customFormat="1">
      <c r="A248" s="245" t="s">
        <v>1179</v>
      </c>
      <c r="B248" s="244" t="s">
        <v>1180</v>
      </c>
    </row>
    <row r="249" spans="1:2" s="202" customFormat="1">
      <c r="A249" s="245" t="s">
        <v>1181</v>
      </c>
      <c r="B249" s="244" t="s">
        <v>1182</v>
      </c>
    </row>
    <row r="250" spans="1:2" s="202" customFormat="1">
      <c r="A250" s="245" t="s">
        <v>1183</v>
      </c>
      <c r="B250" s="244" t="s">
        <v>1184</v>
      </c>
    </row>
    <row r="251" spans="1:2" s="202" customFormat="1">
      <c r="A251" s="245" t="s">
        <v>1185</v>
      </c>
      <c r="B251" s="244" t="s">
        <v>1186</v>
      </c>
    </row>
    <row r="252" spans="1:2" s="202" customFormat="1">
      <c r="A252" s="245" t="s">
        <v>1187</v>
      </c>
      <c r="B252" s="244" t="s">
        <v>1188</v>
      </c>
    </row>
    <row r="253" spans="1:2" s="202" customFormat="1" ht="30" customHeight="1">
      <c r="A253" s="245" t="s">
        <v>1189</v>
      </c>
      <c r="B253" s="244" t="s">
        <v>1190</v>
      </c>
    </row>
    <row r="254" spans="1:2" s="202" customFormat="1" ht="25.5">
      <c r="A254" s="245" t="s">
        <v>1191</v>
      </c>
      <c r="B254" s="244" t="s">
        <v>1192</v>
      </c>
    </row>
    <row r="255" spans="1:2" s="202" customFormat="1">
      <c r="A255" s="245" t="s">
        <v>1193</v>
      </c>
      <c r="B255" s="244" t="s">
        <v>1194</v>
      </c>
    </row>
    <row r="256" spans="1:2" s="202" customFormat="1">
      <c r="A256" s="245" t="s">
        <v>1195</v>
      </c>
      <c r="B256" s="244" t="s">
        <v>1196</v>
      </c>
    </row>
    <row r="257" spans="1:2" s="202" customFormat="1" ht="25.5">
      <c r="A257" s="245" t="s">
        <v>1865</v>
      </c>
      <c r="B257" s="244" t="s">
        <v>1866</v>
      </c>
    </row>
    <row r="258" spans="1:2" s="202" customFormat="1">
      <c r="A258" s="245" t="s">
        <v>2186</v>
      </c>
      <c r="B258" s="244" t="s">
        <v>2187</v>
      </c>
    </row>
    <row r="259" spans="1:2" s="202" customFormat="1">
      <c r="A259" s="245" t="s">
        <v>2188</v>
      </c>
      <c r="B259" s="244" t="s">
        <v>2189</v>
      </c>
    </row>
    <row r="260" spans="1:2" s="202" customFormat="1">
      <c r="A260" s="245" t="s">
        <v>1197</v>
      </c>
      <c r="B260" s="244" t="s">
        <v>1198</v>
      </c>
    </row>
    <row r="261" spans="1:2" s="202" customFormat="1">
      <c r="A261" s="245" t="s">
        <v>1199</v>
      </c>
      <c r="B261" s="244" t="s">
        <v>1200</v>
      </c>
    </row>
    <row r="262" spans="1:2" s="202" customFormat="1">
      <c r="A262" s="245" t="s">
        <v>1201</v>
      </c>
      <c r="B262" s="244" t="s">
        <v>787</v>
      </c>
    </row>
    <row r="263" spans="1:2" s="202" customFormat="1">
      <c r="A263" s="245" t="s">
        <v>1202</v>
      </c>
      <c r="B263" s="244" t="s">
        <v>1203</v>
      </c>
    </row>
    <row r="264" spans="1:2">
      <c r="A264" s="243" t="s">
        <v>1204</v>
      </c>
      <c r="B264" s="242" t="s">
        <v>1205</v>
      </c>
    </row>
    <row r="265" spans="1:2" s="202" customFormat="1">
      <c r="A265" s="245" t="s">
        <v>1206</v>
      </c>
      <c r="B265" s="244" t="s">
        <v>1207</v>
      </c>
    </row>
    <row r="266" spans="1:2" s="202" customFormat="1">
      <c r="A266" s="245" t="s">
        <v>1208</v>
      </c>
      <c r="B266" s="244" t="s">
        <v>1867</v>
      </c>
    </row>
    <row r="267" spans="1:2" s="202" customFormat="1">
      <c r="A267" s="245" t="s">
        <v>1209</v>
      </c>
      <c r="B267" s="244" t="s">
        <v>1210</v>
      </c>
    </row>
    <row r="268" spans="1:2" s="202" customFormat="1">
      <c r="A268" s="245" t="s">
        <v>1211</v>
      </c>
      <c r="B268" s="244" t="s">
        <v>1212</v>
      </c>
    </row>
    <row r="269" spans="1:2" s="202" customFormat="1">
      <c r="A269" s="245" t="s">
        <v>2241</v>
      </c>
      <c r="B269" s="244" t="s">
        <v>2242</v>
      </c>
    </row>
    <row r="270" spans="1:2" s="202" customFormat="1">
      <c r="A270" s="245" t="s">
        <v>2243</v>
      </c>
      <c r="B270" s="244" t="s">
        <v>2244</v>
      </c>
    </row>
    <row r="271" spans="1:2">
      <c r="A271" s="243" t="s">
        <v>1213</v>
      </c>
      <c r="B271" s="242" t="s">
        <v>1214</v>
      </c>
    </row>
    <row r="272" spans="1:2" s="202" customFormat="1">
      <c r="A272" s="245" t="s">
        <v>1215</v>
      </c>
      <c r="B272" s="244" t="s">
        <v>1216</v>
      </c>
    </row>
    <row r="273" spans="1:2" s="202" customFormat="1">
      <c r="A273" s="245" t="s">
        <v>1217</v>
      </c>
      <c r="B273" s="244" t="s">
        <v>1218</v>
      </c>
    </row>
    <row r="274" spans="1:2" s="202" customFormat="1">
      <c r="A274" s="245" t="s">
        <v>1219</v>
      </c>
      <c r="B274" s="244" t="s">
        <v>1220</v>
      </c>
    </row>
    <row r="275" spans="1:2" s="202" customFormat="1">
      <c r="A275" s="245" t="s">
        <v>1221</v>
      </c>
      <c r="B275" s="244" t="s">
        <v>1222</v>
      </c>
    </row>
    <row r="276" spans="1:2" s="202" customFormat="1">
      <c r="A276" s="245" t="s">
        <v>1223</v>
      </c>
      <c r="B276" s="244" t="s">
        <v>1224</v>
      </c>
    </row>
    <row r="277" spans="1:2" s="202" customFormat="1">
      <c r="A277" s="245" t="s">
        <v>1225</v>
      </c>
      <c r="B277" s="244" t="s">
        <v>1226</v>
      </c>
    </row>
    <row r="278" spans="1:2" s="202" customFormat="1">
      <c r="A278" s="245" t="s">
        <v>1227</v>
      </c>
      <c r="B278" s="244" t="s">
        <v>1228</v>
      </c>
    </row>
    <row r="279" spans="1:2" s="202" customFormat="1">
      <c r="A279" s="245" t="s">
        <v>1229</v>
      </c>
      <c r="B279" s="244" t="s">
        <v>1230</v>
      </c>
    </row>
    <row r="280" spans="1:2" s="202" customFormat="1">
      <c r="A280" s="245" t="s">
        <v>1231</v>
      </c>
      <c r="B280" s="244" t="s">
        <v>1232</v>
      </c>
    </row>
    <row r="281" spans="1:2" s="202" customFormat="1">
      <c r="A281" s="245" t="s">
        <v>1233</v>
      </c>
      <c r="B281" s="244" t="s">
        <v>1234</v>
      </c>
    </row>
    <row r="282" spans="1:2" s="202" customFormat="1">
      <c r="A282" s="245" t="s">
        <v>1235</v>
      </c>
      <c r="B282" s="244" t="s">
        <v>1868</v>
      </c>
    </row>
    <row r="283" spans="1:2" s="202" customFormat="1">
      <c r="A283" s="245" t="s">
        <v>1236</v>
      </c>
      <c r="B283" s="244" t="s">
        <v>1869</v>
      </c>
    </row>
    <row r="284" spans="1:2" s="202" customFormat="1">
      <c r="A284" s="245" t="s">
        <v>1237</v>
      </c>
      <c r="B284" s="244" t="s">
        <v>1870</v>
      </c>
    </row>
    <row r="285" spans="1:2" s="202" customFormat="1">
      <c r="A285" s="245" t="s">
        <v>1238</v>
      </c>
      <c r="B285" s="244" t="s">
        <v>1239</v>
      </c>
    </row>
    <row r="286" spans="1:2" s="202" customFormat="1">
      <c r="A286" s="245" t="s">
        <v>1240</v>
      </c>
      <c r="B286" s="244" t="s">
        <v>1871</v>
      </c>
    </row>
    <row r="287" spans="1:2" s="202" customFormat="1">
      <c r="A287" s="245" t="s">
        <v>1241</v>
      </c>
      <c r="B287" s="244" t="s">
        <v>1872</v>
      </c>
    </row>
    <row r="288" spans="1:2" s="202" customFormat="1">
      <c r="A288" s="245" t="s">
        <v>1242</v>
      </c>
      <c r="B288" s="244" t="s">
        <v>1243</v>
      </c>
    </row>
    <row r="289" spans="1:2" s="202" customFormat="1">
      <c r="A289" s="245" t="s">
        <v>1244</v>
      </c>
      <c r="B289" s="244" t="s">
        <v>1245</v>
      </c>
    </row>
    <row r="290" spans="1:2" s="202" customFormat="1">
      <c r="A290" s="245" t="s">
        <v>2174</v>
      </c>
      <c r="B290" s="244" t="s">
        <v>2175</v>
      </c>
    </row>
    <row r="291" spans="1:2" s="202" customFormat="1">
      <c r="A291" s="245" t="s">
        <v>2176</v>
      </c>
      <c r="B291" s="244" t="s">
        <v>2177</v>
      </c>
    </row>
    <row r="292" spans="1:2" s="202" customFormat="1">
      <c r="A292" s="245" t="s">
        <v>2178</v>
      </c>
      <c r="B292" s="244" t="s">
        <v>2179</v>
      </c>
    </row>
    <row r="293" spans="1:2">
      <c r="A293" s="243" t="s">
        <v>1246</v>
      </c>
      <c r="B293" s="242" t="s">
        <v>1247</v>
      </c>
    </row>
    <row r="294" spans="1:2" s="202" customFormat="1">
      <c r="A294" s="245" t="s">
        <v>1248</v>
      </c>
      <c r="B294" s="244" t="s">
        <v>1249</v>
      </c>
    </row>
    <row r="295" spans="1:2" s="202" customFormat="1">
      <c r="A295" s="245" t="s">
        <v>1250</v>
      </c>
      <c r="B295" s="244" t="s">
        <v>1251</v>
      </c>
    </row>
    <row r="296" spans="1:2" s="202" customFormat="1">
      <c r="A296" s="245" t="s">
        <v>1252</v>
      </c>
      <c r="B296" s="244" t="s">
        <v>1253</v>
      </c>
    </row>
    <row r="297" spans="1:2" s="202" customFormat="1">
      <c r="A297" s="245" t="s">
        <v>1254</v>
      </c>
      <c r="B297" s="244" t="s">
        <v>1255</v>
      </c>
    </row>
    <row r="298" spans="1:2" s="202" customFormat="1">
      <c r="A298" s="245" t="s">
        <v>1256</v>
      </c>
      <c r="B298" s="244" t="s">
        <v>1257</v>
      </c>
    </row>
    <row r="299" spans="1:2" s="202" customFormat="1">
      <c r="A299" s="245" t="s">
        <v>1258</v>
      </c>
      <c r="B299" s="244" t="s">
        <v>1259</v>
      </c>
    </row>
    <row r="300" spans="1:2" s="202" customFormat="1">
      <c r="A300" s="245" t="s">
        <v>1260</v>
      </c>
      <c r="B300" s="244" t="s">
        <v>1261</v>
      </c>
    </row>
    <row r="301" spans="1:2" s="202" customFormat="1" ht="25.5">
      <c r="A301" s="245" t="s">
        <v>1262</v>
      </c>
      <c r="B301" s="244" t="s">
        <v>1263</v>
      </c>
    </row>
    <row r="302" spans="1:2" s="202" customFormat="1" ht="25.5">
      <c r="A302" s="245" t="s">
        <v>1264</v>
      </c>
      <c r="B302" s="244" t="s">
        <v>1265</v>
      </c>
    </row>
    <row r="303" spans="1:2" s="202" customFormat="1">
      <c r="A303" s="245" t="s">
        <v>1266</v>
      </c>
      <c r="B303" s="244" t="s">
        <v>1267</v>
      </c>
    </row>
    <row r="304" spans="1:2" s="202" customFormat="1">
      <c r="A304" s="245" t="s">
        <v>1268</v>
      </c>
      <c r="B304" s="244" t="s">
        <v>1269</v>
      </c>
    </row>
    <row r="305" spans="1:3" s="202" customFormat="1" ht="25.5">
      <c r="A305" s="245" t="s">
        <v>1270</v>
      </c>
      <c r="B305" s="244" t="s">
        <v>1271</v>
      </c>
    </row>
    <row r="306" spans="1:3" s="202" customFormat="1">
      <c r="A306" s="245" t="s">
        <v>2180</v>
      </c>
      <c r="B306" s="244" t="s">
        <v>2181</v>
      </c>
    </row>
    <row r="307" spans="1:3" s="202" customFormat="1">
      <c r="A307" s="245" t="s">
        <v>2182</v>
      </c>
      <c r="B307" s="244" t="s">
        <v>2183</v>
      </c>
    </row>
    <row r="308" spans="1:3" s="202" customFormat="1" ht="25.5">
      <c r="A308" s="245" t="s">
        <v>2184</v>
      </c>
      <c r="B308" s="244" t="s">
        <v>2185</v>
      </c>
    </row>
    <row r="309" spans="1:3" s="257" customFormat="1">
      <c r="A309" s="255" t="s">
        <v>1272</v>
      </c>
      <c r="B309" s="256" t="s">
        <v>787</v>
      </c>
      <c r="C309" s="257" t="s">
        <v>3497</v>
      </c>
    </row>
    <row r="310" spans="1:3" s="202" customFormat="1">
      <c r="A310" s="245" t="s">
        <v>1273</v>
      </c>
      <c r="B310" s="244" t="s">
        <v>1274</v>
      </c>
      <c r="C310" s="257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3" t="s">
        <v>1275</v>
      </c>
      <c r="B1" s="204"/>
    </row>
    <row r="2" spans="1:2">
      <c r="A2" s="203" t="s">
        <v>801</v>
      </c>
      <c r="B2" s="204"/>
    </row>
    <row r="3" spans="1:2">
      <c r="A3" s="246" t="s">
        <v>1057</v>
      </c>
      <c r="B3" s="250" t="s">
        <v>587</v>
      </c>
    </row>
    <row r="4" spans="1:2">
      <c r="A4" s="247" t="s">
        <v>1065</v>
      </c>
      <c r="B4" s="251" t="s">
        <v>1066</v>
      </c>
    </row>
    <row r="5" spans="1:2">
      <c r="A5" s="248" t="s">
        <v>1090</v>
      </c>
      <c r="B5" s="249" t="s">
        <v>1854</v>
      </c>
    </row>
    <row r="6" spans="1:2">
      <c r="A6" s="253" t="s">
        <v>1313</v>
      </c>
      <c r="B6" s="252" t="s">
        <v>1314</v>
      </c>
    </row>
    <row r="7" spans="1:2">
      <c r="A7" s="253" t="s">
        <v>1315</v>
      </c>
      <c r="B7" s="252" t="s">
        <v>1316</v>
      </c>
    </row>
    <row r="8" spans="1:2">
      <c r="A8" s="253" t="s">
        <v>1317</v>
      </c>
      <c r="B8" s="252" t="s">
        <v>1318</v>
      </c>
    </row>
    <row r="9" spans="1:2">
      <c r="A9" s="253" t="s">
        <v>1319</v>
      </c>
      <c r="B9" s="252" t="s">
        <v>341</v>
      </c>
    </row>
    <row r="10" spans="1:2">
      <c r="A10" s="253" t="s">
        <v>1320</v>
      </c>
      <c r="B10" s="252" t="s">
        <v>1321</v>
      </c>
    </row>
    <row r="11" spans="1:2">
      <c r="A11" s="253" t="s">
        <v>1322</v>
      </c>
      <c r="B11" s="252" t="s">
        <v>1323</v>
      </c>
    </row>
    <row r="12" spans="1:2">
      <c r="A12" s="253" t="s">
        <v>1324</v>
      </c>
      <c r="B12" s="252" t="s">
        <v>1325</v>
      </c>
    </row>
    <row r="13" spans="1:2" ht="15.75" customHeight="1">
      <c r="A13" s="253" t="s">
        <v>1326</v>
      </c>
      <c r="B13" s="252" t="s">
        <v>1327</v>
      </c>
    </row>
    <row r="14" spans="1:2">
      <c r="A14" s="248" t="s">
        <v>1081</v>
      </c>
      <c r="B14" s="249" t="s">
        <v>1139</v>
      </c>
    </row>
    <row r="15" spans="1:2">
      <c r="A15" s="253" t="s">
        <v>1276</v>
      </c>
      <c r="B15" s="252" t="s">
        <v>1277</v>
      </c>
    </row>
    <row r="16" spans="1:2">
      <c r="A16" s="253" t="s">
        <v>1278</v>
      </c>
      <c r="B16" s="252" t="s">
        <v>1279</v>
      </c>
    </row>
    <row r="17" spans="1:2">
      <c r="A17" s="253" t="s">
        <v>1280</v>
      </c>
      <c r="B17" s="252" t="s">
        <v>1281</v>
      </c>
    </row>
    <row r="18" spans="1:2">
      <c r="A18" s="253" t="s">
        <v>1282</v>
      </c>
      <c r="B18" s="252" t="s">
        <v>1283</v>
      </c>
    </row>
    <row r="19" spans="1:2">
      <c r="A19" s="253" t="s">
        <v>1284</v>
      </c>
      <c r="B19" s="252" t="s">
        <v>997</v>
      </c>
    </row>
    <row r="20" spans="1:2">
      <c r="A20" s="253" t="s">
        <v>1285</v>
      </c>
      <c r="B20" s="252" t="s">
        <v>999</v>
      </c>
    </row>
    <row r="21" spans="1:2">
      <c r="A21" s="253" t="s">
        <v>1286</v>
      </c>
      <c r="B21" s="252" t="s">
        <v>1001</v>
      </c>
    </row>
    <row r="22" spans="1:2">
      <c r="A22" s="253" t="s">
        <v>1287</v>
      </c>
      <c r="B22" s="252" t="s">
        <v>1288</v>
      </c>
    </row>
    <row r="23" spans="1:2">
      <c r="A23" s="253" t="s">
        <v>1289</v>
      </c>
      <c r="B23" s="252" t="s">
        <v>1290</v>
      </c>
    </row>
    <row r="24" spans="1:2">
      <c r="A24" s="253" t="s">
        <v>1291</v>
      </c>
      <c r="B24" s="252" t="s">
        <v>1292</v>
      </c>
    </row>
    <row r="25" spans="1:2">
      <c r="A25" s="253" t="s">
        <v>1293</v>
      </c>
      <c r="B25" s="252" t="s">
        <v>1294</v>
      </c>
    </row>
    <row r="26" spans="1:2">
      <c r="A26" s="253" t="s">
        <v>1295</v>
      </c>
      <c r="B26" s="252" t="s">
        <v>1296</v>
      </c>
    </row>
    <row r="27" spans="1:2">
      <c r="A27" s="253" t="s">
        <v>1297</v>
      </c>
      <c r="B27" s="252" t="s">
        <v>1298</v>
      </c>
    </row>
    <row r="28" spans="1:2">
      <c r="A28" s="253" t="s">
        <v>1299</v>
      </c>
      <c r="B28" s="252" t="s">
        <v>1300</v>
      </c>
    </row>
    <row r="29" spans="1:2">
      <c r="A29" s="253" t="s">
        <v>1301</v>
      </c>
      <c r="B29" s="252" t="s">
        <v>1302</v>
      </c>
    </row>
    <row r="30" spans="1:2">
      <c r="A30" s="253" t="s">
        <v>1303</v>
      </c>
      <c r="B30" s="252" t="s">
        <v>1304</v>
      </c>
    </row>
    <row r="31" spans="1:2">
      <c r="A31" s="253" t="s">
        <v>1305</v>
      </c>
      <c r="B31" s="252" t="s">
        <v>1306</v>
      </c>
    </row>
    <row r="32" spans="1:2">
      <c r="A32" s="253" t="s">
        <v>1307</v>
      </c>
      <c r="B32" s="252" t="s">
        <v>1308</v>
      </c>
    </row>
    <row r="33" spans="1:2">
      <c r="A33" s="253" t="s">
        <v>1309</v>
      </c>
      <c r="B33" s="252" t="s">
        <v>1310</v>
      </c>
    </row>
    <row r="34" spans="1:2">
      <c r="A34" s="253" t="s">
        <v>1311</v>
      </c>
      <c r="B34" s="252" t="s">
        <v>1312</v>
      </c>
    </row>
    <row r="35" spans="1:2">
      <c r="A35" s="253" t="s">
        <v>1398</v>
      </c>
      <c r="B35" s="252" t="s">
        <v>1333</v>
      </c>
    </row>
    <row r="36" spans="1:2">
      <c r="A36" s="253" t="s">
        <v>2245</v>
      </c>
      <c r="B36" s="252" t="s">
        <v>2246</v>
      </c>
    </row>
    <row r="37" spans="1:2">
      <c r="A37" s="247" t="s">
        <v>48</v>
      </c>
      <c r="B37" s="251" t="s">
        <v>49</v>
      </c>
    </row>
    <row r="38" spans="1:2">
      <c r="A38" s="248" t="s">
        <v>96</v>
      </c>
      <c r="B38" s="249" t="s">
        <v>1944</v>
      </c>
    </row>
    <row r="39" spans="1:2">
      <c r="A39" s="253" t="s">
        <v>802</v>
      </c>
      <c r="B39" s="252" t="s">
        <v>803</v>
      </c>
    </row>
    <row r="40" spans="1:2">
      <c r="A40" s="253" t="s">
        <v>804</v>
      </c>
      <c r="B40" s="252" t="s">
        <v>805</v>
      </c>
    </row>
    <row r="41" spans="1:2">
      <c r="A41" s="253" t="s">
        <v>806</v>
      </c>
      <c r="B41" s="252" t="s">
        <v>807</v>
      </c>
    </row>
    <row r="42" spans="1:2">
      <c r="A42" s="253" t="s">
        <v>808</v>
      </c>
      <c r="B42" s="252" t="s">
        <v>809</v>
      </c>
    </row>
    <row r="43" spans="1:2">
      <c r="A43" s="253" t="s">
        <v>810</v>
      </c>
      <c r="B43" s="252" t="s">
        <v>811</v>
      </c>
    </row>
    <row r="44" spans="1:2">
      <c r="A44" s="253" t="s">
        <v>812</v>
      </c>
      <c r="B44" s="252" t="s">
        <v>813</v>
      </c>
    </row>
    <row r="45" spans="1:2">
      <c r="A45" s="253" t="s">
        <v>1399</v>
      </c>
      <c r="B45" s="252" t="s">
        <v>1400</v>
      </c>
    </row>
    <row r="46" spans="1:2">
      <c r="A46" s="253" t="s">
        <v>1401</v>
      </c>
      <c r="B46" s="252" t="s">
        <v>1402</v>
      </c>
    </row>
    <row r="47" spans="1:2">
      <c r="A47" s="253" t="s">
        <v>1403</v>
      </c>
      <c r="B47" s="252" t="s">
        <v>1404</v>
      </c>
    </row>
    <row r="48" spans="1:2">
      <c r="A48" s="253" t="s">
        <v>1405</v>
      </c>
      <c r="B48" s="252" t="s">
        <v>1406</v>
      </c>
    </row>
    <row r="49" spans="1:2">
      <c r="A49" s="253" t="s">
        <v>1407</v>
      </c>
      <c r="B49" s="252" t="s">
        <v>1408</v>
      </c>
    </row>
    <row r="50" spans="1:2">
      <c r="A50" s="253" t="s">
        <v>1409</v>
      </c>
      <c r="B50" s="252" t="s">
        <v>1410</v>
      </c>
    </row>
    <row r="51" spans="1:2">
      <c r="A51" s="253" t="s">
        <v>1411</v>
      </c>
      <c r="B51" s="252" t="s">
        <v>1412</v>
      </c>
    </row>
    <row r="52" spans="1:2">
      <c r="A52" s="253" t="s">
        <v>1413</v>
      </c>
      <c r="B52" s="252" t="s">
        <v>1414</v>
      </c>
    </row>
    <row r="53" spans="1:2">
      <c r="A53" s="253" t="s">
        <v>1415</v>
      </c>
      <c r="B53" s="252" t="s">
        <v>1416</v>
      </c>
    </row>
    <row r="54" spans="1:2">
      <c r="A54" s="253" t="s">
        <v>1417</v>
      </c>
      <c r="B54" s="252" t="s">
        <v>1418</v>
      </c>
    </row>
    <row r="55" spans="1:2">
      <c r="A55" s="253" t="s">
        <v>1419</v>
      </c>
      <c r="B55" s="252" t="s">
        <v>1420</v>
      </c>
    </row>
    <row r="56" spans="1:2">
      <c r="A56" s="253" t="s">
        <v>1421</v>
      </c>
      <c r="B56" s="252" t="s">
        <v>1422</v>
      </c>
    </row>
    <row r="57" spans="1:2">
      <c r="A57" s="253" t="s">
        <v>1423</v>
      </c>
      <c r="B57" s="252" t="s">
        <v>1424</v>
      </c>
    </row>
    <row r="58" spans="1:2">
      <c r="A58" s="253" t="s">
        <v>1425</v>
      </c>
      <c r="B58" s="252" t="s">
        <v>1426</v>
      </c>
    </row>
    <row r="59" spans="1:2">
      <c r="A59" s="253" t="s">
        <v>2247</v>
      </c>
      <c r="B59" s="252" t="s">
        <v>2248</v>
      </c>
    </row>
    <row r="60" spans="1:2">
      <c r="A60" s="253" t="s">
        <v>2249</v>
      </c>
      <c r="B60" s="252" t="s">
        <v>2250</v>
      </c>
    </row>
    <row r="61" spans="1:2">
      <c r="A61" s="253" t="s">
        <v>2251</v>
      </c>
      <c r="B61" s="252" t="s">
        <v>2252</v>
      </c>
    </row>
    <row r="62" spans="1:2">
      <c r="A62" s="253" t="s">
        <v>2253</v>
      </c>
      <c r="B62" s="252" t="s">
        <v>2254</v>
      </c>
    </row>
    <row r="63" spans="1:2">
      <c r="A63" s="253" t="s">
        <v>2255</v>
      </c>
      <c r="B63" s="252" t="s">
        <v>2256</v>
      </c>
    </row>
    <row r="64" spans="1:2">
      <c r="A64" s="253" t="s">
        <v>2257</v>
      </c>
      <c r="B64" s="252" t="s">
        <v>2258</v>
      </c>
    </row>
    <row r="65" spans="1:2">
      <c r="A65" s="253" t="s">
        <v>2259</v>
      </c>
      <c r="B65" s="252" t="s">
        <v>2260</v>
      </c>
    </row>
    <row r="66" spans="1:2">
      <c r="A66" s="253" t="s">
        <v>2261</v>
      </c>
      <c r="B66" s="252" t="s">
        <v>2262</v>
      </c>
    </row>
    <row r="67" spans="1:2">
      <c r="A67" s="253" t="s">
        <v>2263</v>
      </c>
      <c r="B67" s="252" t="s">
        <v>2264</v>
      </c>
    </row>
    <row r="68" spans="1:2">
      <c r="A68" s="253" t="s">
        <v>2265</v>
      </c>
      <c r="B68" s="252" t="s">
        <v>2266</v>
      </c>
    </row>
    <row r="69" spans="1:2">
      <c r="A69" s="253" t="s">
        <v>2267</v>
      </c>
      <c r="B69" s="252" t="s">
        <v>2268</v>
      </c>
    </row>
    <row r="70" spans="1:2">
      <c r="A70" s="253" t="s">
        <v>2269</v>
      </c>
      <c r="B70" s="252" t="s">
        <v>2270</v>
      </c>
    </row>
    <row r="71" spans="1:2">
      <c r="A71" s="253" t="s">
        <v>2271</v>
      </c>
      <c r="B71" s="252" t="s">
        <v>2272</v>
      </c>
    </row>
    <row r="72" spans="1:2">
      <c r="A72" s="253" t="s">
        <v>2273</v>
      </c>
      <c r="B72" s="252" t="s">
        <v>2274</v>
      </c>
    </row>
    <row r="73" spans="1:2">
      <c r="A73" s="253" t="s">
        <v>2275</v>
      </c>
      <c r="B73" s="252" t="s">
        <v>2276</v>
      </c>
    </row>
    <row r="74" spans="1:2">
      <c r="A74" s="253" t="s">
        <v>2277</v>
      </c>
      <c r="B74" s="252" t="s">
        <v>2278</v>
      </c>
    </row>
    <row r="75" spans="1:2">
      <c r="A75" s="253" t="s">
        <v>2279</v>
      </c>
      <c r="B75" s="252" t="s">
        <v>2280</v>
      </c>
    </row>
    <row r="76" spans="1:2">
      <c r="A76" s="253" t="s">
        <v>2281</v>
      </c>
      <c r="B76" s="252" t="s">
        <v>2282</v>
      </c>
    </row>
    <row r="77" spans="1:2">
      <c r="A77" s="253" t="s">
        <v>2283</v>
      </c>
      <c r="B77" s="252" t="s">
        <v>2284</v>
      </c>
    </row>
    <row r="78" spans="1:2">
      <c r="A78" s="253" t="s">
        <v>2285</v>
      </c>
      <c r="B78" s="252" t="s">
        <v>2286</v>
      </c>
    </row>
    <row r="79" spans="1:2">
      <c r="A79" s="253" t="s">
        <v>2287</v>
      </c>
      <c r="B79" s="252" t="s">
        <v>2288</v>
      </c>
    </row>
    <row r="80" spans="1:2">
      <c r="A80" s="253" t="s">
        <v>2289</v>
      </c>
      <c r="B80" s="252" t="s">
        <v>2290</v>
      </c>
    </row>
    <row r="81" spans="1:2">
      <c r="A81" s="253" t="s">
        <v>2291</v>
      </c>
      <c r="B81" s="252" t="s">
        <v>2292</v>
      </c>
    </row>
    <row r="82" spans="1:2">
      <c r="A82" s="253" t="s">
        <v>2293</v>
      </c>
      <c r="B82" s="252" t="s">
        <v>2294</v>
      </c>
    </row>
    <row r="83" spans="1:2">
      <c r="A83" s="253" t="s">
        <v>2295</v>
      </c>
      <c r="B83" s="252" t="s">
        <v>2296</v>
      </c>
    </row>
    <row r="84" spans="1:2">
      <c r="A84" s="253" t="s">
        <v>2297</v>
      </c>
      <c r="B84" s="252" t="s">
        <v>2298</v>
      </c>
    </row>
    <row r="85" spans="1:2">
      <c r="A85" s="253" t="s">
        <v>2299</v>
      </c>
      <c r="B85" s="252" t="s">
        <v>2300</v>
      </c>
    </row>
    <row r="86" spans="1:2">
      <c r="A86" s="253" t="s">
        <v>2301</v>
      </c>
      <c r="B86" s="252" t="s">
        <v>2302</v>
      </c>
    </row>
    <row r="87" spans="1:2">
      <c r="A87" s="253" t="s">
        <v>2303</v>
      </c>
      <c r="B87" s="252" t="s">
        <v>2304</v>
      </c>
    </row>
    <row r="88" spans="1:2">
      <c r="A88" s="253" t="s">
        <v>2305</v>
      </c>
      <c r="B88" s="252" t="s">
        <v>2306</v>
      </c>
    </row>
    <row r="89" spans="1:2">
      <c r="A89" s="248" t="s">
        <v>121</v>
      </c>
      <c r="B89" s="249" t="s">
        <v>1945</v>
      </c>
    </row>
    <row r="90" spans="1:2">
      <c r="A90" s="253" t="s">
        <v>814</v>
      </c>
      <c r="B90" s="252" t="s">
        <v>815</v>
      </c>
    </row>
    <row r="91" spans="1:2">
      <c r="A91" s="253" t="s">
        <v>816</v>
      </c>
      <c r="B91" s="252" t="s">
        <v>817</v>
      </c>
    </row>
    <row r="92" spans="1:2">
      <c r="A92" s="253" t="s">
        <v>818</v>
      </c>
      <c r="B92" s="252" t="s">
        <v>819</v>
      </c>
    </row>
    <row r="93" spans="1:2">
      <c r="A93" s="253" t="s">
        <v>820</v>
      </c>
      <c r="B93" s="252" t="s">
        <v>821</v>
      </c>
    </row>
    <row r="94" spans="1:2">
      <c r="A94" s="253" t="s">
        <v>822</v>
      </c>
      <c r="B94" s="252" t="s">
        <v>823</v>
      </c>
    </row>
    <row r="95" spans="1:2">
      <c r="A95" s="253" t="s">
        <v>824</v>
      </c>
      <c r="B95" s="252" t="s">
        <v>825</v>
      </c>
    </row>
    <row r="96" spans="1:2">
      <c r="A96" s="253" t="s">
        <v>826</v>
      </c>
      <c r="B96" s="252" t="s">
        <v>827</v>
      </c>
    </row>
    <row r="97" spans="1:2">
      <c r="A97" s="253" t="s">
        <v>828</v>
      </c>
      <c r="B97" s="252" t="s">
        <v>829</v>
      </c>
    </row>
    <row r="98" spans="1:2">
      <c r="A98" s="253" t="s">
        <v>830</v>
      </c>
      <c r="B98" s="252" t="s">
        <v>831</v>
      </c>
    </row>
    <row r="99" spans="1:2">
      <c r="A99" s="253" t="s">
        <v>832</v>
      </c>
      <c r="B99" s="252" t="s">
        <v>833</v>
      </c>
    </row>
    <row r="100" spans="1:2">
      <c r="A100" s="253" t="s">
        <v>834</v>
      </c>
      <c r="B100" s="252" t="s">
        <v>835</v>
      </c>
    </row>
    <row r="101" spans="1:2">
      <c r="A101" s="253" t="s">
        <v>836</v>
      </c>
      <c r="B101" s="252" t="s">
        <v>837</v>
      </c>
    </row>
    <row r="102" spans="1:2">
      <c r="A102" s="253" t="s">
        <v>838</v>
      </c>
      <c r="B102" s="252" t="s">
        <v>839</v>
      </c>
    </row>
    <row r="103" spans="1:2">
      <c r="A103" s="253" t="s">
        <v>840</v>
      </c>
      <c r="B103" s="252" t="s">
        <v>841</v>
      </c>
    </row>
    <row r="104" spans="1:2">
      <c r="A104" s="253" t="s">
        <v>1427</v>
      </c>
      <c r="B104" s="252" t="s">
        <v>1428</v>
      </c>
    </row>
    <row r="105" spans="1:2">
      <c r="A105" s="253" t="s">
        <v>1429</v>
      </c>
      <c r="B105" s="252" t="s">
        <v>1430</v>
      </c>
    </row>
    <row r="106" spans="1:2">
      <c r="A106" s="253" t="s">
        <v>1431</v>
      </c>
      <c r="B106" s="252" t="s">
        <v>1432</v>
      </c>
    </row>
    <row r="107" spans="1:2">
      <c r="A107" s="253" t="s">
        <v>1433</v>
      </c>
      <c r="B107" s="252" t="s">
        <v>1434</v>
      </c>
    </row>
    <row r="108" spans="1:2">
      <c r="A108" s="253" t="s">
        <v>1435</v>
      </c>
      <c r="B108" s="252" t="s">
        <v>1436</v>
      </c>
    </row>
    <row r="109" spans="1:2">
      <c r="A109" s="253" t="s">
        <v>1437</v>
      </c>
      <c r="B109" s="252" t="s">
        <v>1438</v>
      </c>
    </row>
    <row r="110" spans="1:2">
      <c r="A110" s="253" t="s">
        <v>1439</v>
      </c>
      <c r="B110" s="252" t="s">
        <v>1440</v>
      </c>
    </row>
    <row r="111" spans="1:2">
      <c r="A111" s="253" t="s">
        <v>1441</v>
      </c>
      <c r="B111" s="252" t="s">
        <v>1442</v>
      </c>
    </row>
    <row r="112" spans="1:2">
      <c r="A112" s="253" t="s">
        <v>1443</v>
      </c>
      <c r="B112" s="252" t="s">
        <v>1444</v>
      </c>
    </row>
    <row r="113" spans="1:2">
      <c r="A113" s="253" t="s">
        <v>1445</v>
      </c>
      <c r="B113" s="252" t="s">
        <v>1446</v>
      </c>
    </row>
    <row r="114" spans="1:2">
      <c r="A114" s="253" t="s">
        <v>1447</v>
      </c>
      <c r="B114" s="252" t="s">
        <v>1448</v>
      </c>
    </row>
    <row r="115" spans="1:2">
      <c r="A115" s="253" t="s">
        <v>1449</v>
      </c>
      <c r="B115" s="252" t="s">
        <v>1450</v>
      </c>
    </row>
    <row r="116" spans="1:2">
      <c r="A116" s="253" t="s">
        <v>1451</v>
      </c>
      <c r="B116" s="252" t="s">
        <v>1452</v>
      </c>
    </row>
    <row r="117" spans="1:2">
      <c r="A117" s="253" t="s">
        <v>1453</v>
      </c>
      <c r="B117" s="252" t="s">
        <v>1454</v>
      </c>
    </row>
    <row r="118" spans="1:2">
      <c r="A118" s="253" t="s">
        <v>1455</v>
      </c>
      <c r="B118" s="252" t="s">
        <v>1456</v>
      </c>
    </row>
    <row r="119" spans="1:2">
      <c r="A119" s="253" t="s">
        <v>1457</v>
      </c>
      <c r="B119" s="252" t="s">
        <v>1458</v>
      </c>
    </row>
    <row r="120" spans="1:2">
      <c r="A120" s="253" t="s">
        <v>1459</v>
      </c>
      <c r="B120" s="252" t="s">
        <v>1460</v>
      </c>
    </row>
    <row r="121" spans="1:2">
      <c r="A121" s="253" t="s">
        <v>1461</v>
      </c>
      <c r="B121" s="252" t="s">
        <v>1462</v>
      </c>
    </row>
    <row r="122" spans="1:2">
      <c r="A122" s="253" t="s">
        <v>1463</v>
      </c>
      <c r="B122" s="252" t="s">
        <v>1464</v>
      </c>
    </row>
    <row r="123" spans="1:2">
      <c r="A123" s="253" t="s">
        <v>1465</v>
      </c>
      <c r="B123" s="252" t="s">
        <v>1466</v>
      </c>
    </row>
    <row r="124" spans="1:2">
      <c r="A124" s="253" t="s">
        <v>1467</v>
      </c>
      <c r="B124" s="252" t="s">
        <v>1468</v>
      </c>
    </row>
    <row r="125" spans="1:2">
      <c r="A125" s="253" t="s">
        <v>1469</v>
      </c>
      <c r="B125" s="252" t="s">
        <v>1470</v>
      </c>
    </row>
    <row r="126" spans="1:2">
      <c r="A126" s="253" t="s">
        <v>1471</v>
      </c>
      <c r="B126" s="252" t="s">
        <v>1472</v>
      </c>
    </row>
    <row r="127" spans="1:2">
      <c r="A127" s="253" t="s">
        <v>1473</v>
      </c>
      <c r="B127" s="252" t="s">
        <v>1474</v>
      </c>
    </row>
    <row r="128" spans="1:2">
      <c r="A128" s="253" t="s">
        <v>1475</v>
      </c>
      <c r="B128" s="252" t="s">
        <v>1476</v>
      </c>
    </row>
    <row r="129" spans="1:2">
      <c r="A129" s="253" t="s">
        <v>1477</v>
      </c>
      <c r="B129" s="252" t="s">
        <v>1478</v>
      </c>
    </row>
    <row r="130" spans="1:2">
      <c r="A130" s="253" t="s">
        <v>1479</v>
      </c>
      <c r="B130" s="252" t="s">
        <v>1480</v>
      </c>
    </row>
    <row r="131" spans="1:2">
      <c r="A131" s="253" t="s">
        <v>1481</v>
      </c>
      <c r="B131" s="252" t="s">
        <v>1482</v>
      </c>
    </row>
    <row r="132" spans="1:2">
      <c r="A132" s="253" t="s">
        <v>1483</v>
      </c>
      <c r="B132" s="252" t="s">
        <v>1484</v>
      </c>
    </row>
    <row r="133" spans="1:2">
      <c r="A133" s="253" t="s">
        <v>1485</v>
      </c>
      <c r="B133" s="252" t="s">
        <v>1486</v>
      </c>
    </row>
    <row r="134" spans="1:2">
      <c r="A134" s="253" t="s">
        <v>1487</v>
      </c>
      <c r="B134" s="252" t="s">
        <v>1488</v>
      </c>
    </row>
    <row r="135" spans="1:2">
      <c r="A135" s="253" t="s">
        <v>1489</v>
      </c>
      <c r="B135" s="252" t="s">
        <v>1490</v>
      </c>
    </row>
    <row r="136" spans="1:2">
      <c r="A136" s="253" t="s">
        <v>1491</v>
      </c>
      <c r="B136" s="252" t="s">
        <v>1492</v>
      </c>
    </row>
    <row r="137" spans="1:2">
      <c r="A137" s="253" t="s">
        <v>1493</v>
      </c>
      <c r="B137" s="252" t="s">
        <v>1494</v>
      </c>
    </row>
    <row r="138" spans="1:2">
      <c r="A138" s="253" t="s">
        <v>1495</v>
      </c>
      <c r="B138" s="252" t="s">
        <v>1496</v>
      </c>
    </row>
    <row r="139" spans="1:2">
      <c r="A139" s="253" t="s">
        <v>1497</v>
      </c>
      <c r="B139" s="252" t="s">
        <v>1498</v>
      </c>
    </row>
    <row r="140" spans="1:2">
      <c r="A140" s="253" t="s">
        <v>1499</v>
      </c>
      <c r="B140" s="252" t="s">
        <v>1500</v>
      </c>
    </row>
    <row r="141" spans="1:2">
      <c r="A141" s="253" t="s">
        <v>1501</v>
      </c>
      <c r="B141" s="252" t="s">
        <v>1502</v>
      </c>
    </row>
    <row r="142" spans="1:2">
      <c r="A142" s="253" t="s">
        <v>1503</v>
      </c>
      <c r="B142" s="252" t="s">
        <v>1504</v>
      </c>
    </row>
    <row r="143" spans="1:2">
      <c r="A143" s="253" t="s">
        <v>2307</v>
      </c>
      <c r="B143" s="252" t="s">
        <v>2308</v>
      </c>
    </row>
    <row r="144" spans="1:2">
      <c r="A144" s="253" t="s">
        <v>2309</v>
      </c>
      <c r="B144" s="252" t="s">
        <v>2310</v>
      </c>
    </row>
    <row r="145" spans="1:2">
      <c r="A145" s="253" t="s">
        <v>2311</v>
      </c>
      <c r="B145" s="252" t="s">
        <v>2312</v>
      </c>
    </row>
    <row r="146" spans="1:2">
      <c r="A146" s="253" t="s">
        <v>2313</v>
      </c>
      <c r="B146" s="252" t="s">
        <v>2314</v>
      </c>
    </row>
    <row r="147" spans="1:2">
      <c r="A147" s="253" t="s">
        <v>2315</v>
      </c>
      <c r="B147" s="252" t="s">
        <v>2316</v>
      </c>
    </row>
    <row r="148" spans="1:2">
      <c r="A148" s="253" t="s">
        <v>2317</v>
      </c>
      <c r="B148" s="252" t="s">
        <v>2318</v>
      </c>
    </row>
    <row r="149" spans="1:2">
      <c r="A149" s="253" t="s">
        <v>2319</v>
      </c>
      <c r="B149" s="252" t="s">
        <v>2320</v>
      </c>
    </row>
    <row r="150" spans="1:2">
      <c r="A150" s="253" t="s">
        <v>2321</v>
      </c>
      <c r="B150" s="252" t="s">
        <v>2322</v>
      </c>
    </row>
    <row r="151" spans="1:2">
      <c r="A151" s="253" t="s">
        <v>2323</v>
      </c>
      <c r="B151" s="252" t="s">
        <v>2324</v>
      </c>
    </row>
    <row r="152" spans="1:2">
      <c r="A152" s="253" t="s">
        <v>2325</v>
      </c>
      <c r="B152" s="252" t="s">
        <v>2326</v>
      </c>
    </row>
    <row r="153" spans="1:2">
      <c r="A153" s="253" t="s">
        <v>2327</v>
      </c>
      <c r="B153" s="252" t="s">
        <v>2264</v>
      </c>
    </row>
    <row r="154" spans="1:2">
      <c r="A154" s="253" t="s">
        <v>2328</v>
      </c>
      <c r="B154" s="252" t="s">
        <v>2329</v>
      </c>
    </row>
    <row r="155" spans="1:2">
      <c r="A155" s="253" t="s">
        <v>2330</v>
      </c>
      <c r="B155" s="252" t="s">
        <v>2331</v>
      </c>
    </row>
    <row r="156" spans="1:2">
      <c r="A156" s="253" t="s">
        <v>2332</v>
      </c>
      <c r="B156" s="252" t="s">
        <v>2333</v>
      </c>
    </row>
    <row r="157" spans="1:2">
      <c r="A157" s="253" t="s">
        <v>2334</v>
      </c>
      <c r="B157" s="252" t="s">
        <v>2335</v>
      </c>
    </row>
    <row r="158" spans="1:2">
      <c r="A158" s="253" t="s">
        <v>2336</v>
      </c>
      <c r="B158" s="252" t="s">
        <v>2337</v>
      </c>
    </row>
    <row r="159" spans="1:2">
      <c r="A159" s="253" t="s">
        <v>2338</v>
      </c>
      <c r="B159" s="252" t="s">
        <v>2339</v>
      </c>
    </row>
    <row r="160" spans="1:2">
      <c r="A160" s="253" t="s">
        <v>2340</v>
      </c>
      <c r="B160" s="252" t="s">
        <v>2341</v>
      </c>
    </row>
    <row r="161" spans="1:2">
      <c r="A161" s="253" t="s">
        <v>2342</v>
      </c>
      <c r="B161" s="252" t="s">
        <v>2343</v>
      </c>
    </row>
    <row r="162" spans="1:2">
      <c r="A162" s="253" t="s">
        <v>2344</v>
      </c>
      <c r="B162" s="252" t="s">
        <v>2345</v>
      </c>
    </row>
    <row r="163" spans="1:2">
      <c r="A163" s="253" t="s">
        <v>2346</v>
      </c>
      <c r="B163" s="252" t="s">
        <v>2347</v>
      </c>
    </row>
    <row r="164" spans="1:2">
      <c r="A164" s="253" t="s">
        <v>2348</v>
      </c>
      <c r="B164" s="252" t="s">
        <v>2349</v>
      </c>
    </row>
    <row r="165" spans="1:2">
      <c r="A165" s="253" t="s">
        <v>2350</v>
      </c>
      <c r="B165" s="252" t="s">
        <v>2351</v>
      </c>
    </row>
    <row r="166" spans="1:2">
      <c r="A166" s="253" t="s">
        <v>2352</v>
      </c>
      <c r="B166" s="252" t="s">
        <v>2353</v>
      </c>
    </row>
    <row r="167" spans="1:2">
      <c r="A167" s="253" t="s">
        <v>2354</v>
      </c>
      <c r="B167" s="252" t="s">
        <v>2355</v>
      </c>
    </row>
    <row r="168" spans="1:2">
      <c r="A168" s="253" t="s">
        <v>2356</v>
      </c>
      <c r="B168" s="252" t="s">
        <v>2357</v>
      </c>
    </row>
    <row r="169" spans="1:2">
      <c r="A169" s="253" t="s">
        <v>2358</v>
      </c>
      <c r="B169" s="252" t="s">
        <v>2359</v>
      </c>
    </row>
    <row r="170" spans="1:2">
      <c r="A170" s="253" t="s">
        <v>2360</v>
      </c>
      <c r="B170" s="252" t="s">
        <v>2361</v>
      </c>
    </row>
    <row r="171" spans="1:2">
      <c r="A171" s="253" t="s">
        <v>2362</v>
      </c>
      <c r="B171" s="252" t="s">
        <v>2363</v>
      </c>
    </row>
    <row r="172" spans="1:2">
      <c r="A172" s="253" t="s">
        <v>2364</v>
      </c>
      <c r="B172" s="252" t="s">
        <v>2365</v>
      </c>
    </row>
    <row r="173" spans="1:2">
      <c r="A173" s="253" t="s">
        <v>2366</v>
      </c>
      <c r="B173" s="252" t="s">
        <v>2367</v>
      </c>
    </row>
    <row r="174" spans="1:2">
      <c r="A174" s="253" t="s">
        <v>2368</v>
      </c>
      <c r="B174" s="252" t="s">
        <v>2369</v>
      </c>
    </row>
    <row r="175" spans="1:2">
      <c r="A175" s="253" t="s">
        <v>2370</v>
      </c>
      <c r="B175" s="252" t="s">
        <v>2371</v>
      </c>
    </row>
    <row r="176" spans="1:2">
      <c r="A176" s="253" t="s">
        <v>2372</v>
      </c>
      <c r="B176" s="252" t="s">
        <v>2373</v>
      </c>
    </row>
    <row r="177" spans="1:2">
      <c r="A177" s="253" t="s">
        <v>2374</v>
      </c>
      <c r="B177" s="252" t="s">
        <v>2375</v>
      </c>
    </row>
    <row r="178" spans="1:2">
      <c r="A178" s="253" t="s">
        <v>2376</v>
      </c>
      <c r="B178" s="252" t="s">
        <v>2377</v>
      </c>
    </row>
    <row r="179" spans="1:2">
      <c r="A179" s="253" t="s">
        <v>2378</v>
      </c>
      <c r="B179" s="252" t="s">
        <v>2379</v>
      </c>
    </row>
    <row r="180" spans="1:2">
      <c r="A180" s="253" t="s">
        <v>2380</v>
      </c>
      <c r="B180" s="252" t="s">
        <v>2381</v>
      </c>
    </row>
    <row r="181" spans="1:2">
      <c r="A181" s="253" t="s">
        <v>2382</v>
      </c>
      <c r="B181" s="252" t="s">
        <v>2383</v>
      </c>
    </row>
    <row r="182" spans="1:2">
      <c r="A182" s="253" t="s">
        <v>2384</v>
      </c>
      <c r="B182" s="252" t="s">
        <v>2385</v>
      </c>
    </row>
    <row r="183" spans="1:2">
      <c r="A183" s="253" t="s">
        <v>2386</v>
      </c>
      <c r="B183" s="252" t="s">
        <v>2387</v>
      </c>
    </row>
    <row r="184" spans="1:2">
      <c r="A184" s="253" t="s">
        <v>2388</v>
      </c>
      <c r="B184" s="252" t="s">
        <v>2389</v>
      </c>
    </row>
    <row r="185" spans="1:2">
      <c r="A185" s="253" t="s">
        <v>2390</v>
      </c>
      <c r="B185" s="252" t="s">
        <v>2391</v>
      </c>
    </row>
    <row r="186" spans="1:2">
      <c r="A186" s="253" t="s">
        <v>2392</v>
      </c>
      <c r="B186" s="252" t="s">
        <v>2393</v>
      </c>
    </row>
    <row r="187" spans="1:2">
      <c r="A187" s="253" t="s">
        <v>2394</v>
      </c>
      <c r="B187" s="252" t="s">
        <v>2395</v>
      </c>
    </row>
    <row r="188" spans="1:2">
      <c r="A188" s="253" t="s">
        <v>2396</v>
      </c>
      <c r="B188" s="252" t="s">
        <v>2397</v>
      </c>
    </row>
    <row r="189" spans="1:2">
      <c r="A189" s="253" t="s">
        <v>2398</v>
      </c>
      <c r="B189" s="252" t="s">
        <v>2399</v>
      </c>
    </row>
    <row r="190" spans="1:2">
      <c r="A190" s="253" t="s">
        <v>2400</v>
      </c>
      <c r="B190" s="252" t="s">
        <v>2401</v>
      </c>
    </row>
    <row r="191" spans="1:2">
      <c r="A191" s="253" t="s">
        <v>2402</v>
      </c>
      <c r="B191" s="252" t="s">
        <v>2403</v>
      </c>
    </row>
    <row r="192" spans="1:2">
      <c r="A192" s="253" t="s">
        <v>2404</v>
      </c>
      <c r="B192" s="252" t="s">
        <v>2405</v>
      </c>
    </row>
    <row r="193" spans="1:2">
      <c r="A193" s="253" t="s">
        <v>2406</v>
      </c>
      <c r="B193" s="252" t="s">
        <v>2407</v>
      </c>
    </row>
    <row r="194" spans="1:2">
      <c r="A194" s="253" t="s">
        <v>2408</v>
      </c>
      <c r="B194" s="252" t="s">
        <v>2409</v>
      </c>
    </row>
    <row r="195" spans="1:2">
      <c r="A195" s="253" t="s">
        <v>2410</v>
      </c>
      <c r="B195" s="252" t="s">
        <v>2411</v>
      </c>
    </row>
    <row r="196" spans="1:2">
      <c r="A196" s="253" t="s">
        <v>2412</v>
      </c>
      <c r="B196" s="252" t="s">
        <v>2413</v>
      </c>
    </row>
    <row r="197" spans="1:2">
      <c r="A197" s="253" t="s">
        <v>2414</v>
      </c>
      <c r="B197" s="252" t="s">
        <v>2415</v>
      </c>
    </row>
    <row r="198" spans="1:2">
      <c r="A198" s="253" t="s">
        <v>2416</v>
      </c>
      <c r="B198" s="252" t="s">
        <v>2417</v>
      </c>
    </row>
    <row r="199" spans="1:2">
      <c r="A199" s="253" t="s">
        <v>2418</v>
      </c>
      <c r="B199" s="252" t="s">
        <v>2419</v>
      </c>
    </row>
    <row r="200" spans="1:2">
      <c r="A200" s="253" t="s">
        <v>2420</v>
      </c>
      <c r="B200" s="252" t="s">
        <v>2421</v>
      </c>
    </row>
    <row r="201" spans="1:2">
      <c r="A201" s="253" t="s">
        <v>2422</v>
      </c>
      <c r="B201" s="252" t="s">
        <v>2423</v>
      </c>
    </row>
    <row r="202" spans="1:2">
      <c r="A202" s="253" t="s">
        <v>2424</v>
      </c>
      <c r="B202" s="252" t="s">
        <v>2425</v>
      </c>
    </row>
    <row r="203" spans="1:2">
      <c r="A203" s="253" t="s">
        <v>2426</v>
      </c>
      <c r="B203" s="252" t="s">
        <v>2427</v>
      </c>
    </row>
    <row r="204" spans="1:2">
      <c r="A204" s="253" t="s">
        <v>2428</v>
      </c>
      <c r="B204" s="252" t="s">
        <v>2429</v>
      </c>
    </row>
    <row r="205" spans="1:2">
      <c r="A205" s="253" t="s">
        <v>2430</v>
      </c>
      <c r="B205" s="252" t="s">
        <v>2431</v>
      </c>
    </row>
    <row r="206" spans="1:2">
      <c r="A206" s="253" t="s">
        <v>2432</v>
      </c>
      <c r="B206" s="252" t="s">
        <v>2433</v>
      </c>
    </row>
    <row r="207" spans="1:2">
      <c r="A207" s="248" t="s">
        <v>2123</v>
      </c>
      <c r="B207" s="249" t="s">
        <v>2124</v>
      </c>
    </row>
    <row r="208" spans="1:2">
      <c r="A208" s="253" t="s">
        <v>2434</v>
      </c>
      <c r="B208" s="252" t="s">
        <v>2435</v>
      </c>
    </row>
    <row r="209" spans="1:2">
      <c r="A209" s="253" t="s">
        <v>2436</v>
      </c>
      <c r="B209" s="252" t="s">
        <v>2437</v>
      </c>
    </row>
    <row r="210" spans="1:2">
      <c r="A210" s="253" t="s">
        <v>2438</v>
      </c>
      <c r="B210" s="252" t="s">
        <v>2439</v>
      </c>
    </row>
    <row r="211" spans="1:2">
      <c r="A211" s="253" t="s">
        <v>2440</v>
      </c>
      <c r="B211" s="252" t="s">
        <v>2441</v>
      </c>
    </row>
    <row r="212" spans="1:2">
      <c r="A212" s="253" t="s">
        <v>2442</v>
      </c>
      <c r="B212" s="252" t="s">
        <v>2443</v>
      </c>
    </row>
    <row r="213" spans="1:2">
      <c r="A213" s="253" t="s">
        <v>2444</v>
      </c>
      <c r="B213" s="252" t="s">
        <v>2445</v>
      </c>
    </row>
    <row r="214" spans="1:2">
      <c r="A214" s="253" t="s">
        <v>2446</v>
      </c>
      <c r="B214" s="252" t="s">
        <v>2447</v>
      </c>
    </row>
    <row r="215" spans="1:2">
      <c r="A215" s="253" t="s">
        <v>2448</v>
      </c>
      <c r="B215" s="252" t="s">
        <v>2449</v>
      </c>
    </row>
    <row r="216" spans="1:2">
      <c r="A216" s="253" t="s">
        <v>2450</v>
      </c>
      <c r="B216" s="252" t="s">
        <v>2451</v>
      </c>
    </row>
    <row r="217" spans="1:2">
      <c r="A217" s="253" t="s">
        <v>2452</v>
      </c>
      <c r="B217" s="252" t="s">
        <v>2453</v>
      </c>
    </row>
    <row r="218" spans="1:2">
      <c r="A218" s="253" t="s">
        <v>2454</v>
      </c>
      <c r="B218" s="252" t="s">
        <v>2455</v>
      </c>
    </row>
    <row r="219" spans="1:2">
      <c r="A219" s="253" t="s">
        <v>2456</v>
      </c>
      <c r="B219" s="252" t="s">
        <v>2457</v>
      </c>
    </row>
    <row r="220" spans="1:2">
      <c r="A220" s="253" t="s">
        <v>2458</v>
      </c>
      <c r="B220" s="252" t="s">
        <v>2459</v>
      </c>
    </row>
    <row r="221" spans="1:2">
      <c r="A221" s="253" t="s">
        <v>2460</v>
      </c>
      <c r="B221" s="252" t="s">
        <v>2461</v>
      </c>
    </row>
    <row r="222" spans="1:2">
      <c r="A222" s="253" t="s">
        <v>2462</v>
      </c>
      <c r="B222" s="252" t="s">
        <v>2463</v>
      </c>
    </row>
    <row r="223" spans="1:2">
      <c r="A223" s="253" t="s">
        <v>2464</v>
      </c>
      <c r="B223" s="252" t="s">
        <v>2465</v>
      </c>
    </row>
    <row r="224" spans="1:2">
      <c r="A224" s="253" t="s">
        <v>2466</v>
      </c>
      <c r="B224" s="252" t="s">
        <v>2467</v>
      </c>
    </row>
    <row r="225" spans="1:2">
      <c r="A225" s="253" t="s">
        <v>2468</v>
      </c>
      <c r="B225" s="252" t="s">
        <v>2469</v>
      </c>
    </row>
    <row r="226" spans="1:2">
      <c r="A226" s="248" t="s">
        <v>128</v>
      </c>
      <c r="B226" s="249" t="s">
        <v>1946</v>
      </c>
    </row>
    <row r="227" spans="1:2">
      <c r="A227" s="253" t="s">
        <v>842</v>
      </c>
      <c r="B227" s="252" t="s">
        <v>843</v>
      </c>
    </row>
    <row r="228" spans="1:2">
      <c r="A228" s="253" t="s">
        <v>844</v>
      </c>
      <c r="B228" s="252" t="s">
        <v>845</v>
      </c>
    </row>
    <row r="229" spans="1:2">
      <c r="A229" s="253" t="s">
        <v>846</v>
      </c>
      <c r="B229" s="252" t="s">
        <v>847</v>
      </c>
    </row>
    <row r="230" spans="1:2">
      <c r="A230" s="253" t="s">
        <v>848</v>
      </c>
      <c r="B230" s="252" t="s">
        <v>849</v>
      </c>
    </row>
    <row r="231" spans="1:2">
      <c r="A231" s="253" t="s">
        <v>850</v>
      </c>
      <c r="B231" s="252" t="s">
        <v>851</v>
      </c>
    </row>
    <row r="232" spans="1:2">
      <c r="A232" s="253" t="s">
        <v>852</v>
      </c>
      <c r="B232" s="252" t="s">
        <v>853</v>
      </c>
    </row>
    <row r="233" spans="1:2">
      <c r="A233" s="253" t="s">
        <v>854</v>
      </c>
      <c r="B233" s="252" t="s">
        <v>855</v>
      </c>
    </row>
    <row r="234" spans="1:2">
      <c r="A234" s="253" t="s">
        <v>1505</v>
      </c>
      <c r="B234" s="252" t="s">
        <v>1506</v>
      </c>
    </row>
    <row r="235" spans="1:2">
      <c r="A235" s="253" t="s">
        <v>1507</v>
      </c>
      <c r="B235" s="252" t="s">
        <v>1508</v>
      </c>
    </row>
    <row r="236" spans="1:2">
      <c r="A236" s="253" t="s">
        <v>1509</v>
      </c>
      <c r="B236" s="252" t="s">
        <v>1510</v>
      </c>
    </row>
    <row r="237" spans="1:2">
      <c r="A237" s="253" t="s">
        <v>1511</v>
      </c>
      <c r="B237" s="252" t="s">
        <v>1512</v>
      </c>
    </row>
    <row r="238" spans="1:2">
      <c r="A238" s="253" t="s">
        <v>1513</v>
      </c>
      <c r="B238" s="252" t="s">
        <v>1514</v>
      </c>
    </row>
    <row r="239" spans="1:2">
      <c r="A239" s="253" t="s">
        <v>2470</v>
      </c>
      <c r="B239" s="252" t="s">
        <v>2471</v>
      </c>
    </row>
    <row r="240" spans="1:2">
      <c r="A240" s="253" t="s">
        <v>2472</v>
      </c>
      <c r="B240" s="252" t="s">
        <v>2473</v>
      </c>
    </row>
    <row r="241" spans="1:2">
      <c r="A241" s="253" t="s">
        <v>2474</v>
      </c>
      <c r="B241" s="252" t="s">
        <v>2475</v>
      </c>
    </row>
    <row r="242" spans="1:2">
      <c r="A242" s="253" t="s">
        <v>2476</v>
      </c>
      <c r="B242" s="252" t="s">
        <v>2477</v>
      </c>
    </row>
    <row r="243" spans="1:2">
      <c r="A243" s="253" t="s">
        <v>2478</v>
      </c>
      <c r="B243" s="252" t="s">
        <v>2479</v>
      </c>
    </row>
    <row r="244" spans="1:2">
      <c r="A244" s="253" t="s">
        <v>2480</v>
      </c>
      <c r="B244" s="252" t="s">
        <v>2481</v>
      </c>
    </row>
    <row r="245" spans="1:2">
      <c r="A245" s="253" t="s">
        <v>2482</v>
      </c>
      <c r="B245" s="252" t="s">
        <v>2483</v>
      </c>
    </row>
    <row r="246" spans="1:2">
      <c r="A246" s="253" t="s">
        <v>2484</v>
      </c>
      <c r="B246" s="252" t="s">
        <v>2485</v>
      </c>
    </row>
    <row r="247" spans="1:2">
      <c r="A247" s="248" t="s">
        <v>134</v>
      </c>
      <c r="B247" s="249" t="s">
        <v>1947</v>
      </c>
    </row>
    <row r="248" spans="1:2">
      <c r="A248" s="253" t="s">
        <v>856</v>
      </c>
      <c r="B248" s="252" t="s">
        <v>857</v>
      </c>
    </row>
    <row r="249" spans="1:2">
      <c r="A249" s="253" t="s">
        <v>858</v>
      </c>
      <c r="B249" s="252" t="s">
        <v>859</v>
      </c>
    </row>
    <row r="250" spans="1:2">
      <c r="A250" s="253" t="s">
        <v>1515</v>
      </c>
      <c r="B250" s="252" t="s">
        <v>1516</v>
      </c>
    </row>
    <row r="251" spans="1:2">
      <c r="A251" s="253" t="s">
        <v>1517</v>
      </c>
      <c r="B251" s="252" t="s">
        <v>1518</v>
      </c>
    </row>
    <row r="252" spans="1:2">
      <c r="A252" s="253" t="s">
        <v>2486</v>
      </c>
      <c r="B252" s="252" t="s">
        <v>2487</v>
      </c>
    </row>
    <row r="253" spans="1:2">
      <c r="A253" s="253" t="s">
        <v>2488</v>
      </c>
      <c r="B253" s="252" t="s">
        <v>2489</v>
      </c>
    </row>
    <row r="254" spans="1:2">
      <c r="A254" s="253" t="s">
        <v>2490</v>
      </c>
      <c r="B254" s="252" t="s">
        <v>2491</v>
      </c>
    </row>
    <row r="255" spans="1:2">
      <c r="A255" s="253" t="s">
        <v>2492</v>
      </c>
      <c r="B255" s="252" t="s">
        <v>2493</v>
      </c>
    </row>
    <row r="256" spans="1:2">
      <c r="A256" s="253" t="s">
        <v>2494</v>
      </c>
      <c r="B256" s="252" t="s">
        <v>2495</v>
      </c>
    </row>
    <row r="257" spans="1:2">
      <c r="A257" s="248" t="s">
        <v>136</v>
      </c>
      <c r="B257" s="249" t="s">
        <v>1948</v>
      </c>
    </row>
    <row r="258" spans="1:2">
      <c r="A258" s="253" t="s">
        <v>860</v>
      </c>
      <c r="B258" s="252" t="s">
        <v>861</v>
      </c>
    </row>
    <row r="259" spans="1:2">
      <c r="A259" s="253" t="s">
        <v>862</v>
      </c>
      <c r="B259" s="252" t="s">
        <v>863</v>
      </c>
    </row>
    <row r="260" spans="1:2">
      <c r="A260" s="253" t="s">
        <v>864</v>
      </c>
      <c r="B260" s="252" t="s">
        <v>865</v>
      </c>
    </row>
    <row r="261" spans="1:2">
      <c r="A261" s="253" t="s">
        <v>2496</v>
      </c>
      <c r="B261" s="252" t="s">
        <v>2497</v>
      </c>
    </row>
    <row r="262" spans="1:2">
      <c r="A262" s="253" t="s">
        <v>2498</v>
      </c>
      <c r="B262" s="252" t="s">
        <v>2499</v>
      </c>
    </row>
    <row r="263" spans="1:2">
      <c r="A263" s="253" t="s">
        <v>2500</v>
      </c>
      <c r="B263" s="252" t="s">
        <v>2501</v>
      </c>
    </row>
    <row r="264" spans="1:2">
      <c r="A264" s="253" t="s">
        <v>2502</v>
      </c>
      <c r="B264" s="252" t="s">
        <v>2503</v>
      </c>
    </row>
    <row r="265" spans="1:2">
      <c r="A265" s="253" t="s">
        <v>2504</v>
      </c>
      <c r="B265" s="252" t="s">
        <v>2505</v>
      </c>
    </row>
    <row r="266" spans="1:2">
      <c r="A266" s="253" t="s">
        <v>2506</v>
      </c>
      <c r="B266" s="252" t="s">
        <v>2507</v>
      </c>
    </row>
    <row r="267" spans="1:2">
      <c r="A267" s="253" t="s">
        <v>2508</v>
      </c>
      <c r="B267" s="252" t="s">
        <v>2509</v>
      </c>
    </row>
    <row r="268" spans="1:2">
      <c r="A268" s="253" t="s">
        <v>2510</v>
      </c>
      <c r="B268" s="252" t="s">
        <v>2511</v>
      </c>
    </row>
    <row r="269" spans="1:2">
      <c r="A269" s="253" t="s">
        <v>2512</v>
      </c>
      <c r="B269" s="252" t="s">
        <v>2513</v>
      </c>
    </row>
    <row r="270" spans="1:2">
      <c r="A270" s="253" t="s">
        <v>2514</v>
      </c>
      <c r="B270" s="252" t="s">
        <v>2515</v>
      </c>
    </row>
    <row r="271" spans="1:2">
      <c r="A271" s="253" t="s">
        <v>2516</v>
      </c>
      <c r="B271" s="252" t="s">
        <v>2517</v>
      </c>
    </row>
    <row r="272" spans="1:2">
      <c r="A272" s="253" t="s">
        <v>2518</v>
      </c>
      <c r="B272" s="252" t="s">
        <v>2519</v>
      </c>
    </row>
    <row r="273" spans="1:2">
      <c r="A273" s="248" t="s">
        <v>138</v>
      </c>
      <c r="B273" s="249" t="s">
        <v>2125</v>
      </c>
    </row>
    <row r="274" spans="1:2">
      <c r="A274" s="253" t="s">
        <v>866</v>
      </c>
      <c r="B274" s="252" t="s">
        <v>867</v>
      </c>
    </row>
    <row r="275" spans="1:2">
      <c r="A275" s="253" t="s">
        <v>868</v>
      </c>
      <c r="B275" s="252" t="s">
        <v>869</v>
      </c>
    </row>
    <row r="276" spans="1:2">
      <c r="A276" s="253" t="s">
        <v>870</v>
      </c>
      <c r="B276" s="252" t="s">
        <v>871</v>
      </c>
    </row>
    <row r="277" spans="1:2">
      <c r="A277" s="253" t="s">
        <v>872</v>
      </c>
      <c r="B277" s="252" t="s">
        <v>873</v>
      </c>
    </row>
    <row r="278" spans="1:2">
      <c r="A278" s="253" t="s">
        <v>874</v>
      </c>
      <c r="B278" s="252" t="s">
        <v>875</v>
      </c>
    </row>
    <row r="279" spans="1:2">
      <c r="A279" s="253" t="s">
        <v>876</v>
      </c>
      <c r="B279" s="252" t="s">
        <v>877</v>
      </c>
    </row>
    <row r="280" spans="1:2">
      <c r="A280" s="253" t="s">
        <v>878</v>
      </c>
      <c r="B280" s="252" t="s">
        <v>879</v>
      </c>
    </row>
    <row r="281" spans="1:2">
      <c r="A281" s="253" t="s">
        <v>880</v>
      </c>
      <c r="B281" s="252" t="s">
        <v>881</v>
      </c>
    </row>
    <row r="282" spans="1:2">
      <c r="A282" s="253" t="s">
        <v>882</v>
      </c>
      <c r="B282" s="252" t="s">
        <v>883</v>
      </c>
    </row>
    <row r="283" spans="1:2">
      <c r="A283" s="253" t="s">
        <v>884</v>
      </c>
      <c r="B283" s="252" t="s">
        <v>885</v>
      </c>
    </row>
    <row r="284" spans="1:2">
      <c r="A284" s="253" t="s">
        <v>886</v>
      </c>
      <c r="B284" s="252" t="s">
        <v>887</v>
      </c>
    </row>
    <row r="285" spans="1:2">
      <c r="A285" s="253" t="s">
        <v>888</v>
      </c>
      <c r="B285" s="252" t="s">
        <v>889</v>
      </c>
    </row>
    <row r="286" spans="1:2">
      <c r="A286" s="253" t="s">
        <v>890</v>
      </c>
      <c r="B286" s="252" t="s">
        <v>891</v>
      </c>
    </row>
    <row r="287" spans="1:2">
      <c r="A287" s="253" t="s">
        <v>892</v>
      </c>
      <c r="B287" s="252" t="s">
        <v>893</v>
      </c>
    </row>
    <row r="288" spans="1:2">
      <c r="A288" s="253" t="s">
        <v>894</v>
      </c>
      <c r="B288" s="252" t="s">
        <v>895</v>
      </c>
    </row>
    <row r="289" spans="1:2">
      <c r="A289" s="253" t="s">
        <v>896</v>
      </c>
      <c r="B289" s="252" t="s">
        <v>897</v>
      </c>
    </row>
    <row r="290" spans="1:2">
      <c r="A290" s="253" t="s">
        <v>898</v>
      </c>
      <c r="B290" s="252" t="s">
        <v>899</v>
      </c>
    </row>
    <row r="291" spans="1:2">
      <c r="A291" s="253" t="s">
        <v>900</v>
      </c>
      <c r="B291" s="252" t="s">
        <v>901</v>
      </c>
    </row>
    <row r="292" spans="1:2">
      <c r="A292" s="253" t="s">
        <v>902</v>
      </c>
      <c r="B292" s="252" t="s">
        <v>903</v>
      </c>
    </row>
    <row r="293" spans="1:2">
      <c r="A293" s="253" t="s">
        <v>904</v>
      </c>
      <c r="B293" s="252" t="s">
        <v>905</v>
      </c>
    </row>
    <row r="294" spans="1:2">
      <c r="A294" s="253" t="s">
        <v>906</v>
      </c>
      <c r="B294" s="252" t="s">
        <v>907</v>
      </c>
    </row>
    <row r="295" spans="1:2">
      <c r="A295" s="253" t="s">
        <v>908</v>
      </c>
      <c r="B295" s="252" t="s">
        <v>909</v>
      </c>
    </row>
    <row r="296" spans="1:2">
      <c r="A296" s="253" t="s">
        <v>910</v>
      </c>
      <c r="B296" s="252" t="s">
        <v>909</v>
      </c>
    </row>
    <row r="297" spans="1:2">
      <c r="A297" s="253" t="s">
        <v>911</v>
      </c>
      <c r="B297" s="252" t="s">
        <v>912</v>
      </c>
    </row>
    <row r="298" spans="1:2">
      <c r="A298" s="253" t="s">
        <v>913</v>
      </c>
      <c r="B298" s="252" t="s">
        <v>912</v>
      </c>
    </row>
    <row r="299" spans="1:2">
      <c r="A299" s="253" t="s">
        <v>1519</v>
      </c>
      <c r="B299" s="252" t="s">
        <v>1520</v>
      </c>
    </row>
    <row r="300" spans="1:2">
      <c r="A300" s="253" t="s">
        <v>1521</v>
      </c>
      <c r="B300" s="252" t="s">
        <v>1522</v>
      </c>
    </row>
    <row r="301" spans="1:2">
      <c r="A301" s="253" t="s">
        <v>1523</v>
      </c>
      <c r="B301" s="252" t="s">
        <v>1524</v>
      </c>
    </row>
    <row r="302" spans="1:2">
      <c r="A302" s="253" t="s">
        <v>1525</v>
      </c>
      <c r="B302" s="252" t="s">
        <v>1526</v>
      </c>
    </row>
    <row r="303" spans="1:2">
      <c r="A303" s="253" t="s">
        <v>1527</v>
      </c>
      <c r="B303" s="252" t="s">
        <v>1528</v>
      </c>
    </row>
    <row r="304" spans="1:2">
      <c r="A304" s="253" t="s">
        <v>1529</v>
      </c>
      <c r="B304" s="252" t="s">
        <v>1530</v>
      </c>
    </row>
    <row r="305" spans="1:2">
      <c r="A305" s="253" t="s">
        <v>1531</v>
      </c>
      <c r="B305" s="252" t="s">
        <v>1532</v>
      </c>
    </row>
    <row r="306" spans="1:2">
      <c r="A306" s="253" t="s">
        <v>1533</v>
      </c>
      <c r="B306" s="252" t="s">
        <v>1534</v>
      </c>
    </row>
    <row r="307" spans="1:2">
      <c r="A307" s="253" t="s">
        <v>1535</v>
      </c>
      <c r="B307" s="252" t="s">
        <v>1536</v>
      </c>
    </row>
    <row r="308" spans="1:2">
      <c r="A308" s="253" t="s">
        <v>1537</v>
      </c>
      <c r="B308" s="252" t="s">
        <v>1538</v>
      </c>
    </row>
    <row r="309" spans="1:2">
      <c r="A309" s="253" t="s">
        <v>1539</v>
      </c>
      <c r="B309" s="252" t="s">
        <v>1540</v>
      </c>
    </row>
    <row r="310" spans="1:2">
      <c r="A310" s="253" t="s">
        <v>1541</v>
      </c>
      <c r="B310" s="252" t="s">
        <v>1542</v>
      </c>
    </row>
    <row r="311" spans="1:2">
      <c r="A311" s="253" t="s">
        <v>1543</v>
      </c>
      <c r="B311" s="252" t="s">
        <v>1544</v>
      </c>
    </row>
    <row r="312" spans="1:2">
      <c r="A312" s="253" t="s">
        <v>1545</v>
      </c>
      <c r="B312" s="252" t="s">
        <v>1546</v>
      </c>
    </row>
    <row r="313" spans="1:2">
      <c r="A313" s="253" t="s">
        <v>1547</v>
      </c>
      <c r="B313" s="252" t="s">
        <v>1548</v>
      </c>
    </row>
    <row r="314" spans="1:2">
      <c r="A314" s="253" t="s">
        <v>1549</v>
      </c>
      <c r="B314" s="252" t="s">
        <v>1550</v>
      </c>
    </row>
    <row r="315" spans="1:2">
      <c r="A315" s="253" t="s">
        <v>1551</v>
      </c>
      <c r="B315" s="252" t="s">
        <v>1552</v>
      </c>
    </row>
    <row r="316" spans="1:2">
      <c r="A316" s="253" t="s">
        <v>1553</v>
      </c>
      <c r="B316" s="252" t="s">
        <v>1554</v>
      </c>
    </row>
    <row r="317" spans="1:2">
      <c r="A317" s="253" t="s">
        <v>1555</v>
      </c>
      <c r="B317" s="252" t="s">
        <v>1556</v>
      </c>
    </row>
    <row r="318" spans="1:2">
      <c r="A318" s="253" t="s">
        <v>1557</v>
      </c>
      <c r="B318" s="252" t="s">
        <v>1558</v>
      </c>
    </row>
    <row r="319" spans="1:2">
      <c r="A319" s="253" t="s">
        <v>1559</v>
      </c>
      <c r="B319" s="252" t="s">
        <v>1560</v>
      </c>
    </row>
    <row r="320" spans="1:2">
      <c r="A320" s="253" t="s">
        <v>1561</v>
      </c>
      <c r="B320" s="252" t="s">
        <v>1562</v>
      </c>
    </row>
    <row r="321" spans="1:2">
      <c r="A321" s="253" t="s">
        <v>1563</v>
      </c>
      <c r="B321" s="252" t="s">
        <v>1564</v>
      </c>
    </row>
    <row r="322" spans="1:2">
      <c r="A322" s="253" t="s">
        <v>1565</v>
      </c>
      <c r="B322" s="252" t="s">
        <v>1566</v>
      </c>
    </row>
    <row r="323" spans="1:2">
      <c r="A323" s="253" t="s">
        <v>1567</v>
      </c>
      <c r="B323" s="252" t="s">
        <v>1568</v>
      </c>
    </row>
    <row r="324" spans="1:2">
      <c r="A324" s="253" t="s">
        <v>1569</v>
      </c>
      <c r="B324" s="252" t="s">
        <v>1570</v>
      </c>
    </row>
    <row r="325" spans="1:2">
      <c r="A325" s="253" t="s">
        <v>1571</v>
      </c>
      <c r="B325" s="252" t="s">
        <v>1572</v>
      </c>
    </row>
    <row r="326" spans="1:2">
      <c r="A326" s="253" t="s">
        <v>1573</v>
      </c>
      <c r="B326" s="252" t="s">
        <v>1574</v>
      </c>
    </row>
    <row r="327" spans="1:2">
      <c r="A327" s="253" t="s">
        <v>1575</v>
      </c>
      <c r="B327" s="252" t="s">
        <v>1576</v>
      </c>
    </row>
    <row r="328" spans="1:2">
      <c r="A328" s="253" t="s">
        <v>1577</v>
      </c>
      <c r="B328" s="252" t="s">
        <v>1578</v>
      </c>
    </row>
    <row r="329" spans="1:2">
      <c r="A329" s="253" t="s">
        <v>1579</v>
      </c>
      <c r="B329" s="252" t="s">
        <v>1580</v>
      </c>
    </row>
    <row r="330" spans="1:2">
      <c r="A330" s="253" t="s">
        <v>2520</v>
      </c>
      <c r="B330" s="252" t="s">
        <v>2521</v>
      </c>
    </row>
    <row r="331" spans="1:2">
      <c r="A331" s="253" t="s">
        <v>2522</v>
      </c>
      <c r="B331" s="252" t="s">
        <v>2523</v>
      </c>
    </row>
    <row r="332" spans="1:2">
      <c r="A332" s="253" t="s">
        <v>2524</v>
      </c>
      <c r="B332" s="252" t="s">
        <v>2525</v>
      </c>
    </row>
    <row r="333" spans="1:2">
      <c r="A333" s="253" t="s">
        <v>2526</v>
      </c>
      <c r="B333" s="252" t="s">
        <v>2527</v>
      </c>
    </row>
    <row r="334" spans="1:2">
      <c r="A334" s="253" t="s">
        <v>2528</v>
      </c>
      <c r="B334" s="252" t="s">
        <v>2529</v>
      </c>
    </row>
    <row r="335" spans="1:2">
      <c r="A335" s="253" t="s">
        <v>2530</v>
      </c>
      <c r="B335" s="252" t="s">
        <v>2531</v>
      </c>
    </row>
    <row r="336" spans="1:2">
      <c r="A336" s="253" t="s">
        <v>2532</v>
      </c>
      <c r="B336" s="252" t="s">
        <v>2533</v>
      </c>
    </row>
    <row r="337" spans="1:2">
      <c r="A337" s="253" t="s">
        <v>2534</v>
      </c>
      <c r="B337" s="252" t="s">
        <v>2535</v>
      </c>
    </row>
    <row r="338" spans="1:2">
      <c r="A338" s="253" t="s">
        <v>2536</v>
      </c>
      <c r="B338" s="252" t="s">
        <v>2537</v>
      </c>
    </row>
    <row r="339" spans="1:2">
      <c r="A339" s="253" t="s">
        <v>2538</v>
      </c>
      <c r="B339" s="252" t="s">
        <v>2539</v>
      </c>
    </row>
    <row r="340" spans="1:2">
      <c r="A340" s="253" t="s">
        <v>2540</v>
      </c>
      <c r="B340" s="252" t="s">
        <v>2541</v>
      </c>
    </row>
    <row r="341" spans="1:2">
      <c r="A341" s="253" t="s">
        <v>2542</v>
      </c>
      <c r="B341" s="252" t="s">
        <v>2543</v>
      </c>
    </row>
    <row r="342" spans="1:2">
      <c r="A342" s="253" t="s">
        <v>2544</v>
      </c>
      <c r="B342" s="252" t="s">
        <v>2545</v>
      </c>
    </row>
    <row r="343" spans="1:2">
      <c r="A343" s="253" t="s">
        <v>2546</v>
      </c>
      <c r="B343" s="252" t="s">
        <v>2547</v>
      </c>
    </row>
    <row r="344" spans="1:2">
      <c r="A344" s="253" t="s">
        <v>2548</v>
      </c>
      <c r="B344" s="252" t="s">
        <v>2549</v>
      </c>
    </row>
    <row r="345" spans="1:2">
      <c r="A345" s="253" t="s">
        <v>2550</v>
      </c>
      <c r="B345" s="252" t="s">
        <v>2551</v>
      </c>
    </row>
    <row r="346" spans="1:2">
      <c r="A346" s="253" t="s">
        <v>2552</v>
      </c>
      <c r="B346" s="252" t="s">
        <v>2553</v>
      </c>
    </row>
    <row r="347" spans="1:2">
      <c r="A347" s="253" t="s">
        <v>2554</v>
      </c>
      <c r="B347" s="252" t="s">
        <v>2555</v>
      </c>
    </row>
    <row r="348" spans="1:2">
      <c r="A348" s="253" t="s">
        <v>2556</v>
      </c>
      <c r="B348" s="252" t="s">
        <v>2557</v>
      </c>
    </row>
    <row r="349" spans="1:2">
      <c r="A349" s="253" t="s">
        <v>2558</v>
      </c>
      <c r="B349" s="252" t="s">
        <v>2559</v>
      </c>
    </row>
    <row r="350" spans="1:2">
      <c r="A350" s="253" t="s">
        <v>2560</v>
      </c>
      <c r="B350" s="252" t="s">
        <v>2561</v>
      </c>
    </row>
    <row r="351" spans="1:2">
      <c r="A351" s="253" t="s">
        <v>2562</v>
      </c>
      <c r="B351" s="252" t="s">
        <v>2563</v>
      </c>
    </row>
    <row r="352" spans="1:2">
      <c r="A352" s="253" t="s">
        <v>2564</v>
      </c>
      <c r="B352" s="252" t="s">
        <v>2565</v>
      </c>
    </row>
    <row r="353" spans="1:2">
      <c r="A353" s="253" t="s">
        <v>2566</v>
      </c>
      <c r="B353" s="252" t="s">
        <v>2567</v>
      </c>
    </row>
    <row r="354" spans="1:2">
      <c r="A354" s="253" t="s">
        <v>2568</v>
      </c>
      <c r="B354" s="252" t="s">
        <v>2569</v>
      </c>
    </row>
    <row r="355" spans="1:2">
      <c r="A355" s="253" t="s">
        <v>2570</v>
      </c>
      <c r="B355" s="252" t="s">
        <v>2571</v>
      </c>
    </row>
    <row r="356" spans="1:2">
      <c r="A356" s="253" t="s">
        <v>2572</v>
      </c>
      <c r="B356" s="252" t="s">
        <v>2573</v>
      </c>
    </row>
    <row r="357" spans="1:2">
      <c r="A357" s="253" t="s">
        <v>2574</v>
      </c>
      <c r="B357" s="252" t="s">
        <v>2575</v>
      </c>
    </row>
    <row r="358" spans="1:2">
      <c r="A358" s="253" t="s">
        <v>2576</v>
      </c>
      <c r="B358" s="252" t="s">
        <v>2577</v>
      </c>
    </row>
    <row r="359" spans="1:2">
      <c r="A359" s="253" t="s">
        <v>2578</v>
      </c>
      <c r="B359" s="252" t="s">
        <v>2579</v>
      </c>
    </row>
    <row r="360" spans="1:2">
      <c r="A360" s="253" t="s">
        <v>2580</v>
      </c>
      <c r="B360" s="252" t="s">
        <v>999</v>
      </c>
    </row>
    <row r="361" spans="1:2">
      <c r="A361" s="253" t="s">
        <v>2581</v>
      </c>
      <c r="B361" s="252" t="s">
        <v>1292</v>
      </c>
    </row>
    <row r="362" spans="1:2">
      <c r="A362" s="253" t="s">
        <v>2582</v>
      </c>
      <c r="B362" s="252" t="s">
        <v>2583</v>
      </c>
    </row>
    <row r="363" spans="1:2">
      <c r="A363" s="253" t="s">
        <v>2584</v>
      </c>
      <c r="B363" s="252" t="s">
        <v>2585</v>
      </c>
    </row>
    <row r="364" spans="1:2">
      <c r="A364" s="253" t="s">
        <v>2586</v>
      </c>
      <c r="B364" s="252" t="s">
        <v>2587</v>
      </c>
    </row>
    <row r="365" spans="1:2">
      <c r="A365" s="253" t="s">
        <v>2588</v>
      </c>
      <c r="B365" s="252" t="s">
        <v>2589</v>
      </c>
    </row>
    <row r="366" spans="1:2">
      <c r="A366" s="253" t="s">
        <v>2590</v>
      </c>
      <c r="B366" s="252" t="s">
        <v>2591</v>
      </c>
    </row>
    <row r="367" spans="1:2">
      <c r="A367" s="253" t="s">
        <v>2592</v>
      </c>
      <c r="B367" s="252" t="s">
        <v>2593</v>
      </c>
    </row>
    <row r="368" spans="1:2">
      <c r="A368" s="253" t="s">
        <v>2594</v>
      </c>
      <c r="B368" s="252" t="s">
        <v>2595</v>
      </c>
    </row>
    <row r="369" spans="1:2">
      <c r="A369" s="253" t="s">
        <v>2596</v>
      </c>
      <c r="B369" s="252" t="s">
        <v>2597</v>
      </c>
    </row>
    <row r="370" spans="1:2">
      <c r="A370" s="253" t="s">
        <v>2598</v>
      </c>
      <c r="B370" s="252" t="s">
        <v>2599</v>
      </c>
    </row>
    <row r="371" spans="1:2">
      <c r="A371" s="253" t="s">
        <v>2600</v>
      </c>
      <c r="B371" s="252" t="s">
        <v>2601</v>
      </c>
    </row>
    <row r="372" spans="1:2">
      <c r="A372" s="253" t="s">
        <v>2602</v>
      </c>
      <c r="B372" s="252" t="s">
        <v>2603</v>
      </c>
    </row>
    <row r="373" spans="1:2">
      <c r="A373" s="253" t="s">
        <v>2604</v>
      </c>
      <c r="B373" s="252" t="s">
        <v>2605</v>
      </c>
    </row>
    <row r="374" spans="1:2">
      <c r="A374" s="248" t="s">
        <v>142</v>
      </c>
      <c r="B374" s="249" t="s">
        <v>2126</v>
      </c>
    </row>
    <row r="375" spans="1:2">
      <c r="A375" s="253" t="s">
        <v>914</v>
      </c>
      <c r="B375" s="252" t="s">
        <v>915</v>
      </c>
    </row>
    <row r="376" spans="1:2">
      <c r="A376" s="253" t="s">
        <v>916</v>
      </c>
      <c r="B376" s="252" t="s">
        <v>917</v>
      </c>
    </row>
    <row r="377" spans="1:2">
      <c r="A377" s="253" t="s">
        <v>918</v>
      </c>
      <c r="B377" s="252" t="s">
        <v>919</v>
      </c>
    </row>
    <row r="378" spans="1:2">
      <c r="A378" s="253" t="s">
        <v>920</v>
      </c>
      <c r="B378" s="252" t="s">
        <v>921</v>
      </c>
    </row>
    <row r="379" spans="1:2">
      <c r="A379" s="253" t="s">
        <v>922</v>
      </c>
      <c r="B379" s="252" t="s">
        <v>923</v>
      </c>
    </row>
    <row r="380" spans="1:2">
      <c r="A380" s="253" t="s">
        <v>924</v>
      </c>
      <c r="B380" s="252" t="s">
        <v>925</v>
      </c>
    </row>
    <row r="381" spans="1:2">
      <c r="A381" s="253" t="s">
        <v>926</v>
      </c>
      <c r="B381" s="252" t="s">
        <v>927</v>
      </c>
    </row>
    <row r="382" spans="1:2">
      <c r="A382" s="253" t="s">
        <v>928</v>
      </c>
      <c r="B382" s="252" t="s">
        <v>929</v>
      </c>
    </row>
    <row r="383" spans="1:2">
      <c r="A383" s="253" t="s">
        <v>930</v>
      </c>
      <c r="B383" s="252" t="s">
        <v>931</v>
      </c>
    </row>
    <row r="384" spans="1:2">
      <c r="A384" s="253" t="s">
        <v>932</v>
      </c>
      <c r="B384" s="252" t="s">
        <v>933</v>
      </c>
    </row>
    <row r="385" spans="1:2">
      <c r="A385" s="253" t="s">
        <v>934</v>
      </c>
      <c r="B385" s="252" t="s">
        <v>935</v>
      </c>
    </row>
    <row r="386" spans="1:2">
      <c r="A386" s="253" t="s">
        <v>936</v>
      </c>
      <c r="B386" s="252" t="s">
        <v>937</v>
      </c>
    </row>
    <row r="387" spans="1:2">
      <c r="A387" s="253" t="s">
        <v>938</v>
      </c>
      <c r="B387" s="252" t="s">
        <v>939</v>
      </c>
    </row>
    <row r="388" spans="1:2">
      <c r="A388" s="253" t="s">
        <v>940</v>
      </c>
      <c r="B388" s="252" t="s">
        <v>941</v>
      </c>
    </row>
    <row r="389" spans="1:2">
      <c r="A389" s="253" t="s">
        <v>942</v>
      </c>
      <c r="B389" s="252" t="s">
        <v>943</v>
      </c>
    </row>
    <row r="390" spans="1:2">
      <c r="A390" s="253" t="s">
        <v>944</v>
      </c>
      <c r="B390" s="252" t="s">
        <v>945</v>
      </c>
    </row>
    <row r="391" spans="1:2">
      <c r="A391" s="253" t="s">
        <v>946</v>
      </c>
      <c r="B391" s="252" t="s">
        <v>947</v>
      </c>
    </row>
    <row r="392" spans="1:2">
      <c r="A392" s="253" t="s">
        <v>948</v>
      </c>
      <c r="B392" s="252" t="s">
        <v>949</v>
      </c>
    </row>
    <row r="393" spans="1:2">
      <c r="A393" s="253" t="s">
        <v>950</v>
      </c>
      <c r="B393" s="252" t="s">
        <v>951</v>
      </c>
    </row>
    <row r="394" spans="1:2">
      <c r="A394" s="253" t="s">
        <v>952</v>
      </c>
      <c r="B394" s="252" t="s">
        <v>953</v>
      </c>
    </row>
    <row r="395" spans="1:2">
      <c r="A395" s="253" t="s">
        <v>954</v>
      </c>
      <c r="B395" s="252" t="s">
        <v>955</v>
      </c>
    </row>
    <row r="396" spans="1:2">
      <c r="A396" s="253" t="s">
        <v>956</v>
      </c>
      <c r="B396" s="252" t="s">
        <v>957</v>
      </c>
    </row>
    <row r="397" spans="1:2">
      <c r="A397" s="253" t="s">
        <v>958</v>
      </c>
      <c r="B397" s="252" t="s">
        <v>959</v>
      </c>
    </row>
    <row r="398" spans="1:2">
      <c r="A398" s="253" t="s">
        <v>960</v>
      </c>
      <c r="B398" s="252" t="s">
        <v>961</v>
      </c>
    </row>
    <row r="399" spans="1:2">
      <c r="A399" s="253" t="s">
        <v>962</v>
      </c>
      <c r="B399" s="252" t="s">
        <v>963</v>
      </c>
    </row>
    <row r="400" spans="1:2">
      <c r="A400" s="253" t="s">
        <v>964</v>
      </c>
      <c r="B400" s="252" t="s">
        <v>965</v>
      </c>
    </row>
    <row r="401" spans="1:2">
      <c r="A401" s="253" t="s">
        <v>966</v>
      </c>
      <c r="B401" s="252" t="s">
        <v>967</v>
      </c>
    </row>
    <row r="402" spans="1:2">
      <c r="A402" s="253" t="s">
        <v>968</v>
      </c>
      <c r="B402" s="252" t="s">
        <v>969</v>
      </c>
    </row>
    <row r="403" spans="1:2">
      <c r="A403" s="253" t="s">
        <v>970</v>
      </c>
      <c r="B403" s="252" t="s">
        <v>971</v>
      </c>
    </row>
    <row r="404" spans="1:2">
      <c r="A404" s="253" t="s">
        <v>972</v>
      </c>
      <c r="B404" s="252" t="s">
        <v>973</v>
      </c>
    </row>
    <row r="405" spans="1:2">
      <c r="A405" s="253" t="s">
        <v>974</v>
      </c>
      <c r="B405" s="252" t="s">
        <v>975</v>
      </c>
    </row>
    <row r="406" spans="1:2">
      <c r="A406" s="253" t="s">
        <v>976</v>
      </c>
      <c r="B406" s="252" t="s">
        <v>977</v>
      </c>
    </row>
    <row r="407" spans="1:2">
      <c r="A407" s="253" t="s">
        <v>978</v>
      </c>
      <c r="B407" s="252" t="s">
        <v>979</v>
      </c>
    </row>
    <row r="408" spans="1:2">
      <c r="A408" s="253" t="s">
        <v>980</v>
      </c>
      <c r="B408" s="252" t="s">
        <v>981</v>
      </c>
    </row>
    <row r="409" spans="1:2">
      <c r="A409" s="253" t="s">
        <v>982</v>
      </c>
      <c r="B409" s="252" t="s">
        <v>983</v>
      </c>
    </row>
    <row r="410" spans="1:2">
      <c r="A410" s="253" t="s">
        <v>1581</v>
      </c>
      <c r="B410" s="252" t="s">
        <v>1582</v>
      </c>
    </row>
    <row r="411" spans="1:2">
      <c r="A411" s="253" t="s">
        <v>1583</v>
      </c>
      <c r="B411" s="252" t="s">
        <v>1584</v>
      </c>
    </row>
    <row r="412" spans="1:2">
      <c r="A412" s="253" t="s">
        <v>1585</v>
      </c>
      <c r="B412" s="252" t="s">
        <v>1586</v>
      </c>
    </row>
    <row r="413" spans="1:2">
      <c r="A413" s="253" t="s">
        <v>1587</v>
      </c>
      <c r="B413" s="252" t="s">
        <v>1588</v>
      </c>
    </row>
    <row r="414" spans="1:2">
      <c r="A414" s="253" t="s">
        <v>1589</v>
      </c>
      <c r="B414" s="252" t="s">
        <v>1590</v>
      </c>
    </row>
    <row r="415" spans="1:2">
      <c r="A415" s="253" t="s">
        <v>1591</v>
      </c>
      <c r="B415" s="252" t="s">
        <v>1592</v>
      </c>
    </row>
    <row r="416" spans="1:2">
      <c r="A416" s="253" t="s">
        <v>1593</v>
      </c>
      <c r="B416" s="252" t="s">
        <v>1594</v>
      </c>
    </row>
    <row r="417" spans="1:2">
      <c r="A417" s="253" t="s">
        <v>1595</v>
      </c>
      <c r="B417" s="252" t="s">
        <v>1596</v>
      </c>
    </row>
    <row r="418" spans="1:2">
      <c r="A418" s="253" t="s">
        <v>1597</v>
      </c>
      <c r="B418" s="252" t="s">
        <v>1598</v>
      </c>
    </row>
    <row r="419" spans="1:2">
      <c r="A419" s="253" t="s">
        <v>1599</v>
      </c>
      <c r="B419" s="252" t="s">
        <v>1600</v>
      </c>
    </row>
    <row r="420" spans="1:2">
      <c r="A420" s="253" t="s">
        <v>1601</v>
      </c>
      <c r="B420" s="252" t="s">
        <v>1602</v>
      </c>
    </row>
    <row r="421" spans="1:2">
      <c r="A421" s="253" t="s">
        <v>1603</v>
      </c>
      <c r="B421" s="252" t="s">
        <v>1604</v>
      </c>
    </row>
    <row r="422" spans="1:2">
      <c r="A422" s="253" t="s">
        <v>1605</v>
      </c>
      <c r="B422" s="252" t="s">
        <v>1606</v>
      </c>
    </row>
    <row r="423" spans="1:2">
      <c r="A423" s="253" t="s">
        <v>1607</v>
      </c>
      <c r="B423" s="252" t="s">
        <v>1608</v>
      </c>
    </row>
    <row r="424" spans="1:2">
      <c r="A424" s="253" t="s">
        <v>1609</v>
      </c>
      <c r="B424" s="252" t="s">
        <v>1610</v>
      </c>
    </row>
    <row r="425" spans="1:2">
      <c r="A425" s="253" t="s">
        <v>1611</v>
      </c>
      <c r="B425" s="252" t="s">
        <v>1612</v>
      </c>
    </row>
    <row r="426" spans="1:2">
      <c r="A426" s="253" t="s">
        <v>1613</v>
      </c>
      <c r="B426" s="252" t="s">
        <v>1614</v>
      </c>
    </row>
    <row r="427" spans="1:2">
      <c r="A427" s="253" t="s">
        <v>1615</v>
      </c>
      <c r="B427" s="252" t="s">
        <v>1616</v>
      </c>
    </row>
    <row r="428" spans="1:2">
      <c r="A428" s="253" t="s">
        <v>1617</v>
      </c>
      <c r="B428" s="252" t="s">
        <v>1618</v>
      </c>
    </row>
    <row r="429" spans="1:2">
      <c r="A429" s="253" t="s">
        <v>1619</v>
      </c>
      <c r="B429" s="252" t="s">
        <v>1620</v>
      </c>
    </row>
    <row r="430" spans="1:2">
      <c r="A430" s="253" t="s">
        <v>1621</v>
      </c>
      <c r="B430" s="252" t="s">
        <v>1622</v>
      </c>
    </row>
    <row r="431" spans="1:2">
      <c r="A431" s="253" t="s">
        <v>1623</v>
      </c>
      <c r="B431" s="252" t="s">
        <v>1624</v>
      </c>
    </row>
    <row r="432" spans="1:2">
      <c r="A432" s="253" t="s">
        <v>1625</v>
      </c>
      <c r="B432" s="252" t="s">
        <v>1626</v>
      </c>
    </row>
    <row r="433" spans="1:2">
      <c r="A433" s="253" t="s">
        <v>1627</v>
      </c>
      <c r="B433" s="252" t="s">
        <v>1628</v>
      </c>
    </row>
    <row r="434" spans="1:2">
      <c r="A434" s="253" t="s">
        <v>1629</v>
      </c>
      <c r="B434" s="252" t="s">
        <v>1630</v>
      </c>
    </row>
    <row r="435" spans="1:2">
      <c r="A435" s="253" t="s">
        <v>1631</v>
      </c>
      <c r="B435" s="252" t="s">
        <v>1632</v>
      </c>
    </row>
    <row r="436" spans="1:2">
      <c r="A436" s="253" t="s">
        <v>1633</v>
      </c>
      <c r="B436" s="252" t="s">
        <v>1634</v>
      </c>
    </row>
    <row r="437" spans="1:2">
      <c r="A437" s="253" t="s">
        <v>1635</v>
      </c>
      <c r="B437" s="252" t="s">
        <v>1636</v>
      </c>
    </row>
    <row r="438" spans="1:2">
      <c r="A438" s="253" t="s">
        <v>1637</v>
      </c>
      <c r="B438" s="252" t="s">
        <v>1638</v>
      </c>
    </row>
    <row r="439" spans="1:2">
      <c r="A439" s="253" t="s">
        <v>1639</v>
      </c>
      <c r="B439" s="252" t="s">
        <v>1640</v>
      </c>
    </row>
    <row r="440" spans="1:2">
      <c r="A440" s="253" t="s">
        <v>1641</v>
      </c>
      <c r="B440" s="252" t="s">
        <v>1642</v>
      </c>
    </row>
    <row r="441" spans="1:2">
      <c r="A441" s="253" t="s">
        <v>1643</v>
      </c>
      <c r="B441" s="252" t="s">
        <v>1644</v>
      </c>
    </row>
    <row r="442" spans="1:2">
      <c r="A442" s="253" t="s">
        <v>1645</v>
      </c>
      <c r="B442" s="252" t="s">
        <v>1646</v>
      </c>
    </row>
    <row r="443" spans="1:2">
      <c r="A443" s="253" t="s">
        <v>1647</v>
      </c>
      <c r="B443" s="252" t="s">
        <v>1648</v>
      </c>
    </row>
    <row r="444" spans="1:2">
      <c r="A444" s="253" t="s">
        <v>1649</v>
      </c>
      <c r="B444" s="252" t="s">
        <v>1650</v>
      </c>
    </row>
    <row r="445" spans="1:2">
      <c r="A445" s="253" t="s">
        <v>1651</v>
      </c>
      <c r="B445" s="252" t="s">
        <v>1652</v>
      </c>
    </row>
    <row r="446" spans="1:2">
      <c r="A446" s="253" t="s">
        <v>1653</v>
      </c>
      <c r="B446" s="252" t="s">
        <v>1654</v>
      </c>
    </row>
    <row r="447" spans="1:2">
      <c r="A447" s="253" t="s">
        <v>1655</v>
      </c>
      <c r="B447" s="252" t="s">
        <v>1656</v>
      </c>
    </row>
    <row r="448" spans="1:2">
      <c r="A448" s="253" t="s">
        <v>1657</v>
      </c>
      <c r="B448" s="252" t="s">
        <v>1658</v>
      </c>
    </row>
    <row r="449" spans="1:2">
      <c r="A449" s="253" t="s">
        <v>1659</v>
      </c>
      <c r="B449" s="252" t="s">
        <v>1660</v>
      </c>
    </row>
    <row r="450" spans="1:2">
      <c r="A450" s="253" t="s">
        <v>1661</v>
      </c>
      <c r="B450" s="252" t="s">
        <v>1662</v>
      </c>
    </row>
    <row r="451" spans="1:2">
      <c r="A451" s="253" t="s">
        <v>1663</v>
      </c>
      <c r="B451" s="252" t="s">
        <v>1664</v>
      </c>
    </row>
    <row r="452" spans="1:2">
      <c r="A452" s="253" t="s">
        <v>1665</v>
      </c>
      <c r="B452" s="252" t="s">
        <v>1666</v>
      </c>
    </row>
    <row r="453" spans="1:2">
      <c r="A453" s="253" t="s">
        <v>1667</v>
      </c>
      <c r="B453" s="252" t="s">
        <v>1668</v>
      </c>
    </row>
    <row r="454" spans="1:2">
      <c r="A454" s="253" t="s">
        <v>1669</v>
      </c>
      <c r="B454" s="252" t="s">
        <v>1670</v>
      </c>
    </row>
    <row r="455" spans="1:2">
      <c r="A455" s="253" t="s">
        <v>1671</v>
      </c>
      <c r="B455" s="252" t="s">
        <v>1672</v>
      </c>
    </row>
    <row r="456" spans="1:2">
      <c r="A456" s="253" t="s">
        <v>1673</v>
      </c>
      <c r="B456" s="252" t="s">
        <v>1674</v>
      </c>
    </row>
    <row r="457" spans="1:2">
      <c r="A457" s="253" t="s">
        <v>1675</v>
      </c>
      <c r="B457" s="252" t="s">
        <v>1676</v>
      </c>
    </row>
    <row r="458" spans="1:2">
      <c r="A458" s="253" t="s">
        <v>1677</v>
      </c>
      <c r="B458" s="252" t="s">
        <v>1678</v>
      </c>
    </row>
    <row r="459" spans="1:2">
      <c r="A459" s="253" t="s">
        <v>1679</v>
      </c>
      <c r="B459" s="252" t="s">
        <v>1680</v>
      </c>
    </row>
    <row r="460" spans="1:2">
      <c r="A460" s="253" t="s">
        <v>1681</v>
      </c>
      <c r="B460" s="252" t="s">
        <v>1682</v>
      </c>
    </row>
    <row r="461" spans="1:2">
      <c r="A461" s="253" t="s">
        <v>1683</v>
      </c>
      <c r="B461" s="252" t="s">
        <v>1684</v>
      </c>
    </row>
    <row r="462" spans="1:2">
      <c r="A462" s="253" t="s">
        <v>1685</v>
      </c>
      <c r="B462" s="252" t="s">
        <v>1686</v>
      </c>
    </row>
    <row r="463" spans="1:2">
      <c r="A463" s="253" t="s">
        <v>1687</v>
      </c>
      <c r="B463" s="252" t="s">
        <v>1688</v>
      </c>
    </row>
    <row r="464" spans="1:2">
      <c r="A464" s="253" t="s">
        <v>1689</v>
      </c>
      <c r="B464" s="252" t="s">
        <v>1690</v>
      </c>
    </row>
    <row r="465" spans="1:2">
      <c r="A465" s="253" t="s">
        <v>1691</v>
      </c>
      <c r="B465" s="252" t="s">
        <v>1692</v>
      </c>
    </row>
    <row r="466" spans="1:2">
      <c r="A466" s="253" t="s">
        <v>1693</v>
      </c>
      <c r="B466" s="252" t="s">
        <v>1694</v>
      </c>
    </row>
    <row r="467" spans="1:2">
      <c r="A467" s="253" t="s">
        <v>1695</v>
      </c>
      <c r="B467" s="252" t="s">
        <v>1696</v>
      </c>
    </row>
    <row r="468" spans="1:2">
      <c r="A468" s="253" t="s">
        <v>1697</v>
      </c>
      <c r="B468" s="252" t="s">
        <v>1698</v>
      </c>
    </row>
    <row r="469" spans="1:2">
      <c r="A469" s="253" t="s">
        <v>1699</v>
      </c>
      <c r="B469" s="252" t="s">
        <v>1700</v>
      </c>
    </row>
    <row r="470" spans="1:2">
      <c r="A470" s="253" t="s">
        <v>1701</v>
      </c>
      <c r="B470" s="252" t="s">
        <v>1702</v>
      </c>
    </row>
    <row r="471" spans="1:2">
      <c r="A471" s="253" t="s">
        <v>1703</v>
      </c>
      <c r="B471" s="252" t="s">
        <v>1704</v>
      </c>
    </row>
    <row r="472" spans="1:2">
      <c r="A472" s="253" t="s">
        <v>1705</v>
      </c>
      <c r="B472" s="252" t="s">
        <v>1706</v>
      </c>
    </row>
    <row r="473" spans="1:2">
      <c r="A473" s="253" t="s">
        <v>1707</v>
      </c>
      <c r="B473" s="252" t="s">
        <v>1708</v>
      </c>
    </row>
    <row r="474" spans="1:2">
      <c r="A474" s="253" t="s">
        <v>1709</v>
      </c>
      <c r="B474" s="252" t="s">
        <v>1710</v>
      </c>
    </row>
    <row r="475" spans="1:2">
      <c r="A475" s="253" t="s">
        <v>1711</v>
      </c>
      <c r="B475" s="252" t="s">
        <v>1712</v>
      </c>
    </row>
    <row r="476" spans="1:2">
      <c r="A476" s="253" t="s">
        <v>1713</v>
      </c>
      <c r="B476" s="252" t="s">
        <v>1714</v>
      </c>
    </row>
    <row r="477" spans="1:2">
      <c r="A477" s="253" t="s">
        <v>1715</v>
      </c>
      <c r="B477" s="252" t="s">
        <v>1716</v>
      </c>
    </row>
    <row r="478" spans="1:2">
      <c r="A478" s="253" t="s">
        <v>1717</v>
      </c>
      <c r="B478" s="252" t="s">
        <v>1718</v>
      </c>
    </row>
    <row r="479" spans="1:2">
      <c r="A479" s="253" t="s">
        <v>1719</v>
      </c>
      <c r="B479" s="252" t="s">
        <v>1720</v>
      </c>
    </row>
    <row r="480" spans="1:2">
      <c r="A480" s="253" t="s">
        <v>1721</v>
      </c>
      <c r="B480" s="252" t="s">
        <v>1722</v>
      </c>
    </row>
    <row r="481" spans="1:2">
      <c r="A481" s="253" t="s">
        <v>1723</v>
      </c>
      <c r="B481" s="252" t="s">
        <v>1724</v>
      </c>
    </row>
    <row r="482" spans="1:2">
      <c r="A482" s="253" t="s">
        <v>1725</v>
      </c>
      <c r="B482" s="252" t="s">
        <v>1726</v>
      </c>
    </row>
    <row r="483" spans="1:2">
      <c r="A483" s="253" t="s">
        <v>1727</v>
      </c>
      <c r="B483" s="252" t="s">
        <v>1728</v>
      </c>
    </row>
    <row r="484" spans="1:2">
      <c r="A484" s="253" t="s">
        <v>1729</v>
      </c>
      <c r="B484" s="252" t="s">
        <v>1730</v>
      </c>
    </row>
    <row r="485" spans="1:2">
      <c r="A485" s="253" t="s">
        <v>1731</v>
      </c>
      <c r="B485" s="252" t="s">
        <v>1732</v>
      </c>
    </row>
    <row r="486" spans="1:2">
      <c r="A486" s="253" t="s">
        <v>1733</v>
      </c>
      <c r="B486" s="252" t="s">
        <v>1734</v>
      </c>
    </row>
    <row r="487" spans="1:2">
      <c r="A487" s="253" t="s">
        <v>1735</v>
      </c>
      <c r="B487" s="252" t="s">
        <v>1736</v>
      </c>
    </row>
    <row r="488" spans="1:2">
      <c r="A488" s="253" t="s">
        <v>1737</v>
      </c>
      <c r="B488" s="252" t="s">
        <v>1738</v>
      </c>
    </row>
    <row r="489" spans="1:2">
      <c r="A489" s="253" t="s">
        <v>1739</v>
      </c>
      <c r="B489" s="252" t="s">
        <v>1740</v>
      </c>
    </row>
    <row r="490" spans="1:2">
      <c r="A490" s="253" t="s">
        <v>1741</v>
      </c>
      <c r="B490" s="252" t="s">
        <v>1742</v>
      </c>
    </row>
    <row r="491" spans="1:2">
      <c r="A491" s="253" t="s">
        <v>1743</v>
      </c>
      <c r="B491" s="252" t="s">
        <v>1744</v>
      </c>
    </row>
    <row r="492" spans="1:2">
      <c r="A492" s="253" t="s">
        <v>1745</v>
      </c>
      <c r="B492" s="252" t="s">
        <v>1746</v>
      </c>
    </row>
    <row r="493" spans="1:2">
      <c r="A493" s="253" t="s">
        <v>1747</v>
      </c>
      <c r="B493" s="252" t="s">
        <v>1748</v>
      </c>
    </row>
    <row r="494" spans="1:2">
      <c r="A494" s="253" t="s">
        <v>1749</v>
      </c>
      <c r="B494" s="252" t="s">
        <v>1750</v>
      </c>
    </row>
    <row r="495" spans="1:2">
      <c r="A495" s="253" t="s">
        <v>1751</v>
      </c>
      <c r="B495" s="252" t="s">
        <v>1752</v>
      </c>
    </row>
    <row r="496" spans="1:2">
      <c r="A496" s="253" t="s">
        <v>1753</v>
      </c>
      <c r="B496" s="252" t="s">
        <v>1754</v>
      </c>
    </row>
    <row r="497" spans="1:2">
      <c r="A497" s="253" t="s">
        <v>1755</v>
      </c>
      <c r="B497" s="252" t="s">
        <v>1756</v>
      </c>
    </row>
    <row r="498" spans="1:2">
      <c r="A498" s="253" t="s">
        <v>1757</v>
      </c>
      <c r="B498" s="252" t="s">
        <v>1758</v>
      </c>
    </row>
    <row r="499" spans="1:2">
      <c r="A499" s="253" t="s">
        <v>2606</v>
      </c>
      <c r="B499" s="252" t="s">
        <v>2607</v>
      </c>
    </row>
    <row r="500" spans="1:2">
      <c r="A500" s="253" t="s">
        <v>2608</v>
      </c>
      <c r="B500" s="252" t="s">
        <v>2609</v>
      </c>
    </row>
    <row r="501" spans="1:2">
      <c r="A501" s="253" t="s">
        <v>2610</v>
      </c>
      <c r="B501" s="252" t="s">
        <v>2611</v>
      </c>
    </row>
    <row r="502" spans="1:2">
      <c r="A502" s="253" t="s">
        <v>2612</v>
      </c>
      <c r="B502" s="252" t="s">
        <v>2613</v>
      </c>
    </row>
    <row r="503" spans="1:2">
      <c r="A503" s="253" t="s">
        <v>2614</v>
      </c>
      <c r="B503" s="252" t="s">
        <v>2615</v>
      </c>
    </row>
    <row r="504" spans="1:2">
      <c r="A504" s="253" t="s">
        <v>2616</v>
      </c>
      <c r="B504" s="252" t="s">
        <v>2617</v>
      </c>
    </row>
    <row r="505" spans="1:2">
      <c r="A505" s="253" t="s">
        <v>2618</v>
      </c>
      <c r="B505" s="252" t="s">
        <v>2619</v>
      </c>
    </row>
    <row r="506" spans="1:2">
      <c r="A506" s="253" t="s">
        <v>2620</v>
      </c>
      <c r="B506" s="252" t="s">
        <v>2621</v>
      </c>
    </row>
    <row r="507" spans="1:2">
      <c r="A507" s="253" t="s">
        <v>2622</v>
      </c>
      <c r="B507" s="252" t="s">
        <v>2623</v>
      </c>
    </row>
    <row r="508" spans="1:2">
      <c r="A508" s="253" t="s">
        <v>2624</v>
      </c>
      <c r="B508" s="252" t="s">
        <v>2625</v>
      </c>
    </row>
    <row r="509" spans="1:2">
      <c r="A509" s="253" t="s">
        <v>2626</v>
      </c>
      <c r="B509" s="252" t="s">
        <v>2627</v>
      </c>
    </row>
    <row r="510" spans="1:2">
      <c r="A510" s="253" t="s">
        <v>2628</v>
      </c>
      <c r="B510" s="252" t="s">
        <v>2629</v>
      </c>
    </row>
    <row r="511" spans="1:2">
      <c r="A511" s="253" t="s">
        <v>2630</v>
      </c>
      <c r="B511" s="252" t="s">
        <v>2631</v>
      </c>
    </row>
    <row r="512" spans="1:2">
      <c r="A512" s="253" t="s">
        <v>2632</v>
      </c>
      <c r="B512" s="252" t="s">
        <v>2633</v>
      </c>
    </row>
    <row r="513" spans="1:2">
      <c r="A513" s="253" t="s">
        <v>2634</v>
      </c>
      <c r="B513" s="252" t="s">
        <v>2635</v>
      </c>
    </row>
    <row r="514" spans="1:2">
      <c r="A514" s="253" t="s">
        <v>2636</v>
      </c>
      <c r="B514" s="252" t="s">
        <v>2637</v>
      </c>
    </row>
    <row r="515" spans="1:2">
      <c r="A515" s="253" t="s">
        <v>2638</v>
      </c>
      <c r="B515" s="252" t="s">
        <v>2639</v>
      </c>
    </row>
    <row r="516" spans="1:2">
      <c r="A516" s="253" t="s">
        <v>2640</v>
      </c>
      <c r="B516" s="252" t="s">
        <v>2641</v>
      </c>
    </row>
    <row r="517" spans="1:2">
      <c r="A517" s="253" t="s">
        <v>2642</v>
      </c>
      <c r="B517" s="252" t="s">
        <v>2643</v>
      </c>
    </row>
    <row r="518" spans="1:2">
      <c r="A518" s="253" t="s">
        <v>2644</v>
      </c>
      <c r="B518" s="252" t="s">
        <v>2645</v>
      </c>
    </row>
    <row r="519" spans="1:2">
      <c r="A519" s="253" t="s">
        <v>2646</v>
      </c>
      <c r="B519" s="252" t="s">
        <v>2647</v>
      </c>
    </row>
    <row r="520" spans="1:2">
      <c r="A520" s="253" t="s">
        <v>2648</v>
      </c>
      <c r="B520" s="252" t="s">
        <v>2649</v>
      </c>
    </row>
    <row r="521" spans="1:2">
      <c r="A521" s="253" t="s">
        <v>2650</v>
      </c>
      <c r="B521" s="252" t="s">
        <v>2651</v>
      </c>
    </row>
    <row r="522" spans="1:2">
      <c r="A522" s="253" t="s">
        <v>2652</v>
      </c>
      <c r="B522" s="252" t="s">
        <v>2653</v>
      </c>
    </row>
    <row r="523" spans="1:2">
      <c r="A523" s="253" t="s">
        <v>2654</v>
      </c>
      <c r="B523" s="252" t="s">
        <v>2655</v>
      </c>
    </row>
    <row r="524" spans="1:2">
      <c r="A524" s="253" t="s">
        <v>2656</v>
      </c>
      <c r="B524" s="252" t="s">
        <v>2657</v>
      </c>
    </row>
    <row r="525" spans="1:2">
      <c r="A525" s="253" t="s">
        <v>2658</v>
      </c>
      <c r="B525" s="252" t="s">
        <v>2659</v>
      </c>
    </row>
    <row r="526" spans="1:2">
      <c r="A526" s="253" t="s">
        <v>2660</v>
      </c>
      <c r="B526" s="252" t="s">
        <v>2661</v>
      </c>
    </row>
    <row r="527" spans="1:2">
      <c r="A527" s="253" t="s">
        <v>2662</v>
      </c>
      <c r="B527" s="252" t="s">
        <v>2663</v>
      </c>
    </row>
    <row r="528" spans="1:2">
      <c r="A528" s="253" t="s">
        <v>2664</v>
      </c>
      <c r="B528" s="252" t="s">
        <v>2665</v>
      </c>
    </row>
    <row r="529" spans="1:2">
      <c r="A529" s="253" t="s">
        <v>2666</v>
      </c>
      <c r="B529" s="252" t="s">
        <v>2667</v>
      </c>
    </row>
    <row r="530" spans="1:2">
      <c r="A530" s="253" t="s">
        <v>2668</v>
      </c>
      <c r="B530" s="252" t="s">
        <v>2669</v>
      </c>
    </row>
    <row r="531" spans="1:2">
      <c r="A531" s="253" t="s">
        <v>2670</v>
      </c>
      <c r="B531" s="252" t="s">
        <v>2671</v>
      </c>
    </row>
    <row r="532" spans="1:2">
      <c r="A532" s="253" t="s">
        <v>2672</v>
      </c>
      <c r="B532" s="252" t="s">
        <v>2673</v>
      </c>
    </row>
    <row r="533" spans="1:2">
      <c r="A533" s="253" t="s">
        <v>2674</v>
      </c>
      <c r="B533" s="252" t="s">
        <v>2675</v>
      </c>
    </row>
    <row r="534" spans="1:2">
      <c r="A534" s="253" t="s">
        <v>2676</v>
      </c>
      <c r="B534" s="252" t="s">
        <v>2677</v>
      </c>
    </row>
    <row r="535" spans="1:2">
      <c r="A535" s="253" t="s">
        <v>2678</v>
      </c>
      <c r="B535" s="252" t="s">
        <v>2679</v>
      </c>
    </row>
    <row r="536" spans="1:2">
      <c r="A536" s="253" t="s">
        <v>2680</v>
      </c>
      <c r="B536" s="252" t="s">
        <v>2681</v>
      </c>
    </row>
    <row r="537" spans="1:2">
      <c r="A537" s="253" t="s">
        <v>2682</v>
      </c>
      <c r="B537" s="252" t="s">
        <v>2683</v>
      </c>
    </row>
    <row r="538" spans="1:2">
      <c r="A538" s="253" t="s">
        <v>2684</v>
      </c>
      <c r="B538" s="252" t="s">
        <v>1584</v>
      </c>
    </row>
    <row r="539" spans="1:2">
      <c r="A539" s="253" t="s">
        <v>2685</v>
      </c>
      <c r="B539" s="252" t="s">
        <v>2686</v>
      </c>
    </row>
    <row r="540" spans="1:2">
      <c r="A540" s="253" t="s">
        <v>2687</v>
      </c>
      <c r="B540" s="252" t="s">
        <v>2688</v>
      </c>
    </row>
    <row r="541" spans="1:2">
      <c r="A541" s="253" t="s">
        <v>2689</v>
      </c>
      <c r="B541" s="252" t="s">
        <v>2690</v>
      </c>
    </row>
    <row r="542" spans="1:2">
      <c r="A542" s="253" t="s">
        <v>2691</v>
      </c>
      <c r="B542" s="252" t="s">
        <v>2692</v>
      </c>
    </row>
    <row r="543" spans="1:2">
      <c r="A543" s="253" t="s">
        <v>2693</v>
      </c>
      <c r="B543" s="252" t="s">
        <v>2694</v>
      </c>
    </row>
    <row r="544" spans="1:2">
      <c r="A544" s="253" t="s">
        <v>2695</v>
      </c>
      <c r="B544" s="252" t="s">
        <v>2696</v>
      </c>
    </row>
    <row r="545" spans="1:2">
      <c r="A545" s="253" t="s">
        <v>2697</v>
      </c>
      <c r="B545" s="252" t="s">
        <v>2698</v>
      </c>
    </row>
    <row r="546" spans="1:2">
      <c r="A546" s="253" t="s">
        <v>2699</v>
      </c>
      <c r="B546" s="252" t="s">
        <v>2700</v>
      </c>
    </row>
    <row r="547" spans="1:2">
      <c r="A547" s="253" t="s">
        <v>2701</v>
      </c>
      <c r="B547" s="252" t="s">
        <v>2702</v>
      </c>
    </row>
    <row r="548" spans="1:2">
      <c r="A548" s="253" t="s">
        <v>2703</v>
      </c>
      <c r="B548" s="252" t="s">
        <v>2704</v>
      </c>
    </row>
    <row r="549" spans="1:2">
      <c r="A549" s="253" t="s">
        <v>2705</v>
      </c>
      <c r="B549" s="252" t="s">
        <v>2706</v>
      </c>
    </row>
    <row r="550" spans="1:2">
      <c r="A550" s="253" t="s">
        <v>2707</v>
      </c>
      <c r="B550" s="252" t="s">
        <v>2708</v>
      </c>
    </row>
    <row r="551" spans="1:2">
      <c r="A551" s="253" t="s">
        <v>2709</v>
      </c>
      <c r="B551" s="252" t="s">
        <v>2710</v>
      </c>
    </row>
    <row r="552" spans="1:2">
      <c r="A552" s="253" t="s">
        <v>2711</v>
      </c>
      <c r="B552" s="252" t="s">
        <v>2712</v>
      </c>
    </row>
    <row r="553" spans="1:2">
      <c r="A553" s="253" t="s">
        <v>2713</v>
      </c>
      <c r="B553" s="252" t="s">
        <v>2714</v>
      </c>
    </row>
    <row r="554" spans="1:2">
      <c r="A554" s="253" t="s">
        <v>2715</v>
      </c>
      <c r="B554" s="252" t="s">
        <v>2716</v>
      </c>
    </row>
    <row r="555" spans="1:2">
      <c r="A555" s="253" t="s">
        <v>2717</v>
      </c>
      <c r="B555" s="252" t="s">
        <v>2718</v>
      </c>
    </row>
    <row r="556" spans="1:2">
      <c r="A556" s="253" t="s">
        <v>2719</v>
      </c>
      <c r="B556" s="252" t="s">
        <v>2720</v>
      </c>
    </row>
    <row r="557" spans="1:2">
      <c r="A557" s="253" t="s">
        <v>2721</v>
      </c>
      <c r="B557" s="252" t="s">
        <v>2722</v>
      </c>
    </row>
    <row r="558" spans="1:2">
      <c r="A558" s="253" t="s">
        <v>2723</v>
      </c>
      <c r="B558" s="252" t="s">
        <v>2724</v>
      </c>
    </row>
    <row r="559" spans="1:2">
      <c r="A559" s="253" t="s">
        <v>2725</v>
      </c>
      <c r="B559" s="252" t="s">
        <v>2726</v>
      </c>
    </row>
    <row r="560" spans="1:2">
      <c r="A560" s="253" t="s">
        <v>2727</v>
      </c>
      <c r="B560" s="252" t="s">
        <v>2728</v>
      </c>
    </row>
    <row r="561" spans="1:2">
      <c r="A561" s="253" t="s">
        <v>2729</v>
      </c>
      <c r="B561" s="252" t="s">
        <v>2730</v>
      </c>
    </row>
    <row r="562" spans="1:2">
      <c r="A562" s="253" t="s">
        <v>2731</v>
      </c>
      <c r="B562" s="252" t="s">
        <v>2732</v>
      </c>
    </row>
    <row r="563" spans="1:2">
      <c r="A563" s="253" t="s">
        <v>2733</v>
      </c>
      <c r="B563" s="252" t="s">
        <v>2734</v>
      </c>
    </row>
    <row r="564" spans="1:2">
      <c r="A564" s="253" t="s">
        <v>2735</v>
      </c>
      <c r="B564" s="252" t="s">
        <v>2736</v>
      </c>
    </row>
    <row r="565" spans="1:2">
      <c r="A565" s="253" t="s">
        <v>2737</v>
      </c>
      <c r="B565" s="252" t="s">
        <v>2738</v>
      </c>
    </row>
    <row r="566" spans="1:2">
      <c r="A566" s="253" t="s">
        <v>2739</v>
      </c>
      <c r="B566" s="252" t="s">
        <v>2740</v>
      </c>
    </row>
    <row r="567" spans="1:2">
      <c r="A567" s="253" t="s">
        <v>2741</v>
      </c>
      <c r="B567" s="252" t="s">
        <v>2742</v>
      </c>
    </row>
    <row r="568" spans="1:2">
      <c r="A568" s="253" t="s">
        <v>2743</v>
      </c>
      <c r="B568" s="252" t="s">
        <v>2744</v>
      </c>
    </row>
    <row r="569" spans="1:2">
      <c r="A569" s="253" t="s">
        <v>2745</v>
      </c>
      <c r="B569" s="252" t="s">
        <v>2746</v>
      </c>
    </row>
    <row r="570" spans="1:2">
      <c r="A570" s="253" t="s">
        <v>2747</v>
      </c>
      <c r="B570" s="252" t="s">
        <v>2748</v>
      </c>
    </row>
    <row r="571" spans="1:2">
      <c r="A571" s="253" t="s">
        <v>2749</v>
      </c>
      <c r="B571" s="252" t="s">
        <v>2750</v>
      </c>
    </row>
    <row r="572" spans="1:2">
      <c r="A572" s="253" t="s">
        <v>2751</v>
      </c>
      <c r="B572" s="252" t="s">
        <v>1750</v>
      </c>
    </row>
    <row r="573" spans="1:2">
      <c r="A573" s="253" t="s">
        <v>2752</v>
      </c>
      <c r="B573" s="252" t="s">
        <v>2753</v>
      </c>
    </row>
    <row r="574" spans="1:2">
      <c r="A574" s="253" t="s">
        <v>2754</v>
      </c>
      <c r="B574" s="252" t="s">
        <v>2755</v>
      </c>
    </row>
    <row r="575" spans="1:2">
      <c r="A575" s="253" t="s">
        <v>2756</v>
      </c>
      <c r="B575" s="252" t="s">
        <v>2757</v>
      </c>
    </row>
    <row r="576" spans="1:2">
      <c r="A576" s="253" t="s">
        <v>2758</v>
      </c>
      <c r="B576" s="252" t="s">
        <v>2759</v>
      </c>
    </row>
    <row r="577" spans="1:2">
      <c r="A577" s="253" t="s">
        <v>2760</v>
      </c>
      <c r="B577" s="252" t="s">
        <v>2761</v>
      </c>
    </row>
    <row r="578" spans="1:2">
      <c r="A578" s="253" t="s">
        <v>2762</v>
      </c>
      <c r="B578" s="252" t="s">
        <v>2763</v>
      </c>
    </row>
    <row r="579" spans="1:2">
      <c r="A579" s="253" t="s">
        <v>2764</v>
      </c>
      <c r="B579" s="252" t="s">
        <v>2765</v>
      </c>
    </row>
    <row r="580" spans="1:2">
      <c r="A580" s="253" t="s">
        <v>2766</v>
      </c>
      <c r="B580" s="252" t="s">
        <v>2767</v>
      </c>
    </row>
    <row r="581" spans="1:2">
      <c r="A581" s="253" t="s">
        <v>2768</v>
      </c>
      <c r="B581" s="252" t="s">
        <v>2769</v>
      </c>
    </row>
    <row r="582" spans="1:2">
      <c r="A582" s="253" t="s">
        <v>2770</v>
      </c>
      <c r="B582" s="252" t="s">
        <v>2771</v>
      </c>
    </row>
    <row r="583" spans="1:2">
      <c r="A583" s="253" t="s">
        <v>2772</v>
      </c>
      <c r="B583" s="252" t="s">
        <v>2773</v>
      </c>
    </row>
    <row r="584" spans="1:2">
      <c r="A584" s="253" t="s">
        <v>2774</v>
      </c>
      <c r="B584" s="252" t="s">
        <v>2775</v>
      </c>
    </row>
    <row r="585" spans="1:2">
      <c r="A585" s="253" t="s">
        <v>2776</v>
      </c>
      <c r="B585" s="252" t="s">
        <v>2777</v>
      </c>
    </row>
    <row r="586" spans="1:2">
      <c r="A586" s="253" t="s">
        <v>2778</v>
      </c>
      <c r="B586" s="252" t="s">
        <v>2779</v>
      </c>
    </row>
    <row r="587" spans="1:2">
      <c r="A587" s="253" t="s">
        <v>2780</v>
      </c>
      <c r="B587" s="252" t="s">
        <v>2781</v>
      </c>
    </row>
    <row r="588" spans="1:2">
      <c r="A588" s="253" t="s">
        <v>2782</v>
      </c>
      <c r="B588" s="252" t="s">
        <v>2783</v>
      </c>
    </row>
    <row r="589" spans="1:2">
      <c r="A589" s="253" t="s">
        <v>2784</v>
      </c>
      <c r="B589" s="252" t="s">
        <v>2785</v>
      </c>
    </row>
    <row r="590" spans="1:2">
      <c r="A590" s="253" t="s">
        <v>2786</v>
      </c>
      <c r="B590" s="252" t="s">
        <v>2787</v>
      </c>
    </row>
    <row r="591" spans="1:2">
      <c r="A591" s="253" t="s">
        <v>2788</v>
      </c>
      <c r="B591" s="252" t="s">
        <v>2789</v>
      </c>
    </row>
    <row r="592" spans="1:2">
      <c r="A592" s="253" t="s">
        <v>2790</v>
      </c>
      <c r="B592" s="252" t="s">
        <v>2791</v>
      </c>
    </row>
    <row r="593" spans="1:2">
      <c r="A593" s="253" t="s">
        <v>2792</v>
      </c>
      <c r="B593" s="252" t="s">
        <v>2793</v>
      </c>
    </row>
    <row r="594" spans="1:2">
      <c r="A594" s="253" t="s">
        <v>2794</v>
      </c>
      <c r="B594" s="252" t="s">
        <v>2795</v>
      </c>
    </row>
    <row r="595" spans="1:2">
      <c r="A595" s="253" t="s">
        <v>2796</v>
      </c>
      <c r="B595" s="252" t="s">
        <v>2797</v>
      </c>
    </row>
    <row r="596" spans="1:2">
      <c r="A596" s="253" t="s">
        <v>2798</v>
      </c>
      <c r="B596" s="252" t="s">
        <v>2799</v>
      </c>
    </row>
    <row r="597" spans="1:2">
      <c r="A597" s="253" t="s">
        <v>2800</v>
      </c>
      <c r="B597" s="252" t="s">
        <v>2801</v>
      </c>
    </row>
    <row r="598" spans="1:2">
      <c r="A598" s="253" t="s">
        <v>2802</v>
      </c>
      <c r="B598" s="252" t="s">
        <v>2803</v>
      </c>
    </row>
    <row r="599" spans="1:2">
      <c r="A599" s="253" t="s">
        <v>2804</v>
      </c>
      <c r="B599" s="252" t="s">
        <v>2805</v>
      </c>
    </row>
    <row r="600" spans="1:2">
      <c r="A600" s="253" t="s">
        <v>2806</v>
      </c>
      <c r="B600" s="252" t="s">
        <v>2807</v>
      </c>
    </row>
    <row r="601" spans="1:2">
      <c r="A601" s="253" t="s">
        <v>2808</v>
      </c>
      <c r="B601" s="252" t="s">
        <v>2809</v>
      </c>
    </row>
    <row r="602" spans="1:2">
      <c r="A602" s="253" t="s">
        <v>2810</v>
      </c>
      <c r="B602" s="252" t="s">
        <v>2811</v>
      </c>
    </row>
    <row r="603" spans="1:2">
      <c r="A603" s="253" t="s">
        <v>2812</v>
      </c>
      <c r="B603" s="252" t="s">
        <v>2813</v>
      </c>
    </row>
    <row r="604" spans="1:2">
      <c r="A604" s="253" t="s">
        <v>2814</v>
      </c>
      <c r="B604" s="252" t="s">
        <v>2815</v>
      </c>
    </row>
    <row r="605" spans="1:2">
      <c r="A605" s="253" t="s">
        <v>2816</v>
      </c>
      <c r="B605" s="252" t="s">
        <v>2817</v>
      </c>
    </row>
    <row r="606" spans="1:2">
      <c r="A606" s="253" t="s">
        <v>2818</v>
      </c>
      <c r="B606" s="252" t="s">
        <v>2819</v>
      </c>
    </row>
    <row r="607" spans="1:2">
      <c r="A607" s="253" t="s">
        <v>2820</v>
      </c>
      <c r="B607" s="252" t="s">
        <v>2821</v>
      </c>
    </row>
    <row r="608" spans="1:2">
      <c r="A608" s="253" t="s">
        <v>2822</v>
      </c>
      <c r="B608" s="252" t="s">
        <v>2823</v>
      </c>
    </row>
    <row r="609" spans="1:2">
      <c r="A609" s="253" t="s">
        <v>2824</v>
      </c>
      <c r="B609" s="252" t="s">
        <v>2825</v>
      </c>
    </row>
    <row r="610" spans="1:2">
      <c r="A610" s="253" t="s">
        <v>2826</v>
      </c>
      <c r="B610" s="252" t="s">
        <v>2827</v>
      </c>
    </row>
    <row r="611" spans="1:2">
      <c r="A611" s="253" t="s">
        <v>2828</v>
      </c>
      <c r="B611" s="252" t="s">
        <v>2829</v>
      </c>
    </row>
    <row r="612" spans="1:2">
      <c r="A612" s="253" t="s">
        <v>2830</v>
      </c>
      <c r="B612" s="252" t="s">
        <v>2831</v>
      </c>
    </row>
    <row r="613" spans="1:2">
      <c r="A613" s="253" t="s">
        <v>2832</v>
      </c>
      <c r="B613" s="252" t="s">
        <v>2833</v>
      </c>
    </row>
    <row r="614" spans="1:2">
      <c r="A614" s="253" t="s">
        <v>2834</v>
      </c>
      <c r="B614" s="252" t="s">
        <v>2835</v>
      </c>
    </row>
    <row r="615" spans="1:2">
      <c r="A615" s="253" t="s">
        <v>2836</v>
      </c>
      <c r="B615" s="252" t="s">
        <v>2837</v>
      </c>
    </row>
    <row r="616" spans="1:2">
      <c r="A616" s="253" t="s">
        <v>2838</v>
      </c>
      <c r="B616" s="252" t="s">
        <v>2839</v>
      </c>
    </row>
    <row r="617" spans="1:2">
      <c r="A617" s="253" t="s">
        <v>2840</v>
      </c>
      <c r="B617" s="252" t="s">
        <v>2841</v>
      </c>
    </row>
    <row r="618" spans="1:2">
      <c r="A618" s="253" t="s">
        <v>2842</v>
      </c>
      <c r="B618" s="252" t="s">
        <v>2843</v>
      </c>
    </row>
    <row r="619" spans="1:2">
      <c r="A619" s="253" t="s">
        <v>2844</v>
      </c>
      <c r="B619" s="252" t="s">
        <v>2845</v>
      </c>
    </row>
    <row r="620" spans="1:2">
      <c r="A620" s="253" t="s">
        <v>2846</v>
      </c>
      <c r="B620" s="252" t="s">
        <v>2847</v>
      </c>
    </row>
    <row r="621" spans="1:2">
      <c r="A621" s="253" t="s">
        <v>2848</v>
      </c>
      <c r="B621" s="252" t="s">
        <v>2849</v>
      </c>
    </row>
    <row r="622" spans="1:2">
      <c r="A622" s="253" t="s">
        <v>2850</v>
      </c>
      <c r="B622" s="252" t="s">
        <v>2851</v>
      </c>
    </row>
    <row r="623" spans="1:2">
      <c r="A623" s="253" t="s">
        <v>2852</v>
      </c>
      <c r="B623" s="252" t="s">
        <v>2853</v>
      </c>
    </row>
    <row r="624" spans="1:2">
      <c r="A624" s="253" t="s">
        <v>2854</v>
      </c>
      <c r="B624" s="252" t="s">
        <v>2855</v>
      </c>
    </row>
    <row r="625" spans="1:2">
      <c r="A625" s="253" t="s">
        <v>2856</v>
      </c>
      <c r="B625" s="252" t="s">
        <v>2857</v>
      </c>
    </row>
    <row r="626" spans="1:2">
      <c r="A626" s="253" t="s">
        <v>2858</v>
      </c>
      <c r="B626" s="252" t="s">
        <v>2859</v>
      </c>
    </row>
    <row r="627" spans="1:2">
      <c r="A627" s="253" t="s">
        <v>2860</v>
      </c>
      <c r="B627" s="252" t="s">
        <v>2861</v>
      </c>
    </row>
    <row r="628" spans="1:2">
      <c r="A628" s="253" t="s">
        <v>2862</v>
      </c>
      <c r="B628" s="252" t="s">
        <v>2863</v>
      </c>
    </row>
    <row r="629" spans="1:2">
      <c r="A629" s="253" t="s">
        <v>2864</v>
      </c>
      <c r="B629" s="252" t="s">
        <v>2865</v>
      </c>
    </row>
    <row r="630" spans="1:2">
      <c r="A630" s="253" t="s">
        <v>2866</v>
      </c>
      <c r="B630" s="252" t="s">
        <v>2867</v>
      </c>
    </row>
    <row r="631" spans="1:2">
      <c r="A631" s="253" t="s">
        <v>2868</v>
      </c>
      <c r="B631" s="252" t="s">
        <v>2869</v>
      </c>
    </row>
    <row r="632" spans="1:2">
      <c r="A632" s="253" t="s">
        <v>2870</v>
      </c>
      <c r="B632" s="252" t="s">
        <v>2871</v>
      </c>
    </row>
    <row r="633" spans="1:2">
      <c r="A633" s="253" t="s">
        <v>2872</v>
      </c>
      <c r="B633" s="252" t="s">
        <v>2873</v>
      </c>
    </row>
    <row r="634" spans="1:2">
      <c r="A634" s="253" t="s">
        <v>2874</v>
      </c>
      <c r="B634" s="252" t="s">
        <v>2875</v>
      </c>
    </row>
    <row r="635" spans="1:2">
      <c r="A635" s="253" t="s">
        <v>2876</v>
      </c>
      <c r="B635" s="252" t="s">
        <v>2877</v>
      </c>
    </row>
    <row r="636" spans="1:2">
      <c r="A636" s="253" t="s">
        <v>2878</v>
      </c>
      <c r="B636" s="252" t="s">
        <v>2879</v>
      </c>
    </row>
    <row r="637" spans="1:2">
      <c r="A637" s="253" t="s">
        <v>2880</v>
      </c>
      <c r="B637" s="252" t="s">
        <v>2881</v>
      </c>
    </row>
    <row r="638" spans="1:2">
      <c r="A638" s="253" t="s">
        <v>2882</v>
      </c>
      <c r="B638" s="252" t="s">
        <v>2883</v>
      </c>
    </row>
    <row r="639" spans="1:2">
      <c r="A639" s="253" t="s">
        <v>2884</v>
      </c>
      <c r="B639" s="252" t="s">
        <v>2885</v>
      </c>
    </row>
    <row r="640" spans="1:2">
      <c r="A640" s="253" t="s">
        <v>2886</v>
      </c>
      <c r="B640" s="252" t="s">
        <v>2887</v>
      </c>
    </row>
    <row r="641" spans="1:2">
      <c r="A641" s="253" t="s">
        <v>2888</v>
      </c>
      <c r="B641" s="252" t="s">
        <v>2889</v>
      </c>
    </row>
    <row r="642" spans="1:2">
      <c r="A642" s="253" t="s">
        <v>2890</v>
      </c>
      <c r="B642" s="252" t="s">
        <v>2891</v>
      </c>
    </row>
    <row r="643" spans="1:2">
      <c r="A643" s="253" t="s">
        <v>2892</v>
      </c>
      <c r="B643" s="252" t="s">
        <v>2893</v>
      </c>
    </row>
    <row r="644" spans="1:2">
      <c r="A644" s="253" t="s">
        <v>2894</v>
      </c>
      <c r="B644" s="252" t="s">
        <v>2895</v>
      </c>
    </row>
    <row r="645" spans="1:2">
      <c r="A645" s="253" t="s">
        <v>2896</v>
      </c>
      <c r="B645" s="252" t="s">
        <v>2897</v>
      </c>
    </row>
    <row r="646" spans="1:2">
      <c r="A646" s="253" t="s">
        <v>2898</v>
      </c>
      <c r="B646" s="252" t="s">
        <v>2899</v>
      </c>
    </row>
    <row r="647" spans="1:2">
      <c r="A647" s="253" t="s">
        <v>2900</v>
      </c>
      <c r="B647" s="252" t="s">
        <v>2901</v>
      </c>
    </row>
    <row r="648" spans="1:2">
      <c r="A648" s="253" t="s">
        <v>2902</v>
      </c>
      <c r="B648" s="252" t="s">
        <v>2903</v>
      </c>
    </row>
    <row r="649" spans="1:2">
      <c r="A649" s="253" t="s">
        <v>2904</v>
      </c>
      <c r="B649" s="252" t="s">
        <v>2905</v>
      </c>
    </row>
    <row r="650" spans="1:2">
      <c r="A650" s="253" t="s">
        <v>2906</v>
      </c>
      <c r="B650" s="252" t="s">
        <v>2907</v>
      </c>
    </row>
    <row r="651" spans="1:2">
      <c r="A651" s="253" t="s">
        <v>2908</v>
      </c>
      <c r="B651" s="252" t="s">
        <v>2909</v>
      </c>
    </row>
    <row r="652" spans="1:2">
      <c r="A652" s="253" t="s">
        <v>2910</v>
      </c>
      <c r="B652" s="252" t="s">
        <v>2911</v>
      </c>
    </row>
    <row r="653" spans="1:2">
      <c r="A653" s="253" t="s">
        <v>2912</v>
      </c>
      <c r="B653" s="252" t="s">
        <v>2913</v>
      </c>
    </row>
    <row r="654" spans="1:2">
      <c r="A654" s="253" t="s">
        <v>2914</v>
      </c>
      <c r="B654" s="252" t="s">
        <v>2915</v>
      </c>
    </row>
    <row r="655" spans="1:2">
      <c r="A655" s="253" t="s">
        <v>2916</v>
      </c>
      <c r="B655" s="252" t="s">
        <v>2917</v>
      </c>
    </row>
    <row r="656" spans="1:2">
      <c r="A656" s="253" t="s">
        <v>2918</v>
      </c>
      <c r="B656" s="252" t="s">
        <v>2919</v>
      </c>
    </row>
    <row r="657" spans="1:2">
      <c r="A657" s="253" t="s">
        <v>2920</v>
      </c>
      <c r="B657" s="252" t="s">
        <v>2921</v>
      </c>
    </row>
    <row r="658" spans="1:2">
      <c r="A658" s="253" t="s">
        <v>2922</v>
      </c>
      <c r="B658" s="252" t="s">
        <v>2923</v>
      </c>
    </row>
    <row r="659" spans="1:2">
      <c r="A659" s="253" t="s">
        <v>2924</v>
      </c>
      <c r="B659" s="252" t="s">
        <v>2925</v>
      </c>
    </row>
    <row r="660" spans="1:2">
      <c r="A660" s="253" t="s">
        <v>2926</v>
      </c>
      <c r="B660" s="252" t="s">
        <v>2927</v>
      </c>
    </row>
    <row r="661" spans="1:2">
      <c r="A661" s="253" t="s">
        <v>2928</v>
      </c>
      <c r="B661" s="252" t="s">
        <v>2929</v>
      </c>
    </row>
    <row r="662" spans="1:2">
      <c r="A662" s="253" t="s">
        <v>2930</v>
      </c>
      <c r="B662" s="252" t="s">
        <v>2931</v>
      </c>
    </row>
    <row r="663" spans="1:2">
      <c r="A663" s="253" t="s">
        <v>2932</v>
      </c>
      <c r="B663" s="252" t="s">
        <v>2933</v>
      </c>
    </row>
    <row r="664" spans="1:2">
      <c r="A664" s="253" t="s">
        <v>2934</v>
      </c>
      <c r="B664" s="252" t="s">
        <v>2935</v>
      </c>
    </row>
    <row r="665" spans="1:2">
      <c r="A665" s="253" t="s">
        <v>2936</v>
      </c>
      <c r="B665" s="252" t="s">
        <v>2937</v>
      </c>
    </row>
    <row r="666" spans="1:2">
      <c r="A666" s="253" t="s">
        <v>2938</v>
      </c>
      <c r="B666" s="252" t="s">
        <v>2939</v>
      </c>
    </row>
    <row r="667" spans="1:2">
      <c r="A667" s="253" t="s">
        <v>2940</v>
      </c>
      <c r="B667" s="252" t="s">
        <v>2941</v>
      </c>
    </row>
    <row r="668" spans="1:2">
      <c r="A668" s="253" t="s">
        <v>2942</v>
      </c>
      <c r="B668" s="252" t="s">
        <v>2943</v>
      </c>
    </row>
    <row r="669" spans="1:2">
      <c r="A669" s="253" t="s">
        <v>2944</v>
      </c>
      <c r="B669" s="252" t="s">
        <v>2945</v>
      </c>
    </row>
    <row r="670" spans="1:2">
      <c r="A670" s="253" t="s">
        <v>2946</v>
      </c>
      <c r="B670" s="252" t="s">
        <v>2947</v>
      </c>
    </row>
    <row r="671" spans="1:2">
      <c r="A671" s="253" t="s">
        <v>2948</v>
      </c>
      <c r="B671" s="252" t="s">
        <v>2949</v>
      </c>
    </row>
    <row r="672" spans="1:2">
      <c r="A672" s="253" t="s">
        <v>2950</v>
      </c>
      <c r="B672" s="252" t="s">
        <v>2951</v>
      </c>
    </row>
    <row r="673" spans="1:2">
      <c r="A673" s="253" t="s">
        <v>2952</v>
      </c>
      <c r="B673" s="252" t="s">
        <v>2953</v>
      </c>
    </row>
    <row r="674" spans="1:2">
      <c r="A674" s="253" t="s">
        <v>2954</v>
      </c>
      <c r="B674" s="252" t="s">
        <v>2955</v>
      </c>
    </row>
    <row r="675" spans="1:2">
      <c r="A675" s="253" t="s">
        <v>2956</v>
      </c>
      <c r="B675" s="252" t="s">
        <v>2957</v>
      </c>
    </row>
    <row r="676" spans="1:2">
      <c r="A676" s="253" t="s">
        <v>2958</v>
      </c>
      <c r="B676" s="252" t="s">
        <v>2959</v>
      </c>
    </row>
    <row r="677" spans="1:2">
      <c r="A677" s="253" t="s">
        <v>2960</v>
      </c>
      <c r="B677" s="252" t="s">
        <v>2961</v>
      </c>
    </row>
    <row r="678" spans="1:2">
      <c r="A678" s="253" t="s">
        <v>2962</v>
      </c>
      <c r="B678" s="252" t="s">
        <v>2963</v>
      </c>
    </row>
    <row r="679" spans="1:2">
      <c r="A679" s="253" t="s">
        <v>2964</v>
      </c>
      <c r="B679" s="252" t="s">
        <v>2965</v>
      </c>
    </row>
    <row r="680" spans="1:2">
      <c r="A680" s="253" t="s">
        <v>2966</v>
      </c>
      <c r="B680" s="252" t="s">
        <v>2967</v>
      </c>
    </row>
    <row r="681" spans="1:2">
      <c r="A681" s="253" t="s">
        <v>2968</v>
      </c>
      <c r="B681" s="252" t="s">
        <v>2969</v>
      </c>
    </row>
    <row r="682" spans="1:2">
      <c r="A682" s="253" t="s">
        <v>2970</v>
      </c>
      <c r="B682" s="252" t="s">
        <v>2971</v>
      </c>
    </row>
    <row r="683" spans="1:2">
      <c r="A683" s="253" t="s">
        <v>2972</v>
      </c>
      <c r="B683" s="252" t="s">
        <v>2973</v>
      </c>
    </row>
    <row r="684" spans="1:2">
      <c r="A684" s="253" t="s">
        <v>2974</v>
      </c>
      <c r="B684" s="252" t="s">
        <v>2975</v>
      </c>
    </row>
    <row r="685" spans="1:2">
      <c r="A685" s="253" t="s">
        <v>2976</v>
      </c>
      <c r="B685" s="252" t="s">
        <v>2977</v>
      </c>
    </row>
    <row r="686" spans="1:2">
      <c r="A686" s="253" t="s">
        <v>2978</v>
      </c>
      <c r="B686" s="252" t="s">
        <v>2979</v>
      </c>
    </row>
    <row r="687" spans="1:2">
      <c r="A687" s="253" t="s">
        <v>2980</v>
      </c>
      <c r="B687" s="252" t="s">
        <v>2981</v>
      </c>
    </row>
    <row r="688" spans="1:2">
      <c r="A688" s="253" t="s">
        <v>2982</v>
      </c>
      <c r="B688" s="252" t="s">
        <v>2983</v>
      </c>
    </row>
    <row r="689" spans="1:2">
      <c r="A689" s="253" t="s">
        <v>2984</v>
      </c>
      <c r="B689" s="252" t="s">
        <v>2985</v>
      </c>
    </row>
    <row r="690" spans="1:2">
      <c r="A690" s="253" t="s">
        <v>2986</v>
      </c>
      <c r="B690" s="252" t="s">
        <v>2987</v>
      </c>
    </row>
    <row r="691" spans="1:2">
      <c r="A691" s="253" t="s">
        <v>2988</v>
      </c>
      <c r="B691" s="252" t="s">
        <v>2989</v>
      </c>
    </row>
    <row r="692" spans="1:2">
      <c r="A692" s="253" t="s">
        <v>2990</v>
      </c>
      <c r="B692" s="252" t="s">
        <v>2991</v>
      </c>
    </row>
    <row r="693" spans="1:2">
      <c r="A693" s="253" t="s">
        <v>2992</v>
      </c>
      <c r="B693" s="252" t="s">
        <v>2993</v>
      </c>
    </row>
    <row r="694" spans="1:2">
      <c r="A694" s="253" t="s">
        <v>2994</v>
      </c>
      <c r="B694" s="252" t="s">
        <v>2995</v>
      </c>
    </row>
    <row r="695" spans="1:2">
      <c r="A695" s="253" t="s">
        <v>2996</v>
      </c>
      <c r="B695" s="252" t="s">
        <v>2997</v>
      </c>
    </row>
    <row r="696" spans="1:2">
      <c r="A696" s="253" t="s">
        <v>2998</v>
      </c>
      <c r="B696" s="252" t="s">
        <v>2999</v>
      </c>
    </row>
    <row r="697" spans="1:2">
      <c r="A697" s="253" t="s">
        <v>3000</v>
      </c>
      <c r="B697" s="252" t="s">
        <v>3001</v>
      </c>
    </row>
    <row r="698" spans="1:2">
      <c r="A698" s="253" t="s">
        <v>3002</v>
      </c>
      <c r="B698" s="252" t="s">
        <v>3003</v>
      </c>
    </row>
    <row r="699" spans="1:2">
      <c r="A699" s="253" t="s">
        <v>3004</v>
      </c>
      <c r="B699" s="252" t="s">
        <v>3005</v>
      </c>
    </row>
    <row r="700" spans="1:2">
      <c r="A700" s="253" t="s">
        <v>3006</v>
      </c>
      <c r="B700" s="252" t="s">
        <v>3007</v>
      </c>
    </row>
    <row r="701" spans="1:2">
      <c r="A701" s="253" t="s">
        <v>3008</v>
      </c>
      <c r="B701" s="252" t="s">
        <v>3009</v>
      </c>
    </row>
    <row r="702" spans="1:2">
      <c r="A702" s="253" t="s">
        <v>3010</v>
      </c>
      <c r="B702" s="252" t="s">
        <v>3011</v>
      </c>
    </row>
    <row r="703" spans="1:2">
      <c r="A703" s="253" t="s">
        <v>3012</v>
      </c>
      <c r="B703" s="252" t="s">
        <v>3013</v>
      </c>
    </row>
    <row r="704" spans="1:2">
      <c r="A704" s="253" t="s">
        <v>3014</v>
      </c>
      <c r="B704" s="252" t="s">
        <v>3015</v>
      </c>
    </row>
    <row r="705" spans="1:2">
      <c r="A705" s="253" t="s">
        <v>3016</v>
      </c>
      <c r="B705" s="252" t="s">
        <v>3017</v>
      </c>
    </row>
    <row r="706" spans="1:2">
      <c r="A706" s="253" t="s">
        <v>3018</v>
      </c>
      <c r="B706" s="252" t="s">
        <v>3019</v>
      </c>
    </row>
    <row r="707" spans="1:2">
      <c r="A707" s="253" t="s">
        <v>3020</v>
      </c>
      <c r="B707" s="252" t="s">
        <v>3021</v>
      </c>
    </row>
    <row r="708" spans="1:2">
      <c r="A708" s="253" t="s">
        <v>3022</v>
      </c>
      <c r="B708" s="252" t="s">
        <v>3023</v>
      </c>
    </row>
    <row r="709" spans="1:2">
      <c r="A709" s="253" t="s">
        <v>3024</v>
      </c>
      <c r="B709" s="252" t="s">
        <v>3025</v>
      </c>
    </row>
    <row r="710" spans="1:2">
      <c r="A710" s="253" t="s">
        <v>3026</v>
      </c>
      <c r="B710" s="252" t="s">
        <v>3027</v>
      </c>
    </row>
    <row r="711" spans="1:2">
      <c r="A711" s="253" t="s">
        <v>3028</v>
      </c>
      <c r="B711" s="252" t="s">
        <v>3029</v>
      </c>
    </row>
    <row r="712" spans="1:2">
      <c r="A712" s="253" t="s">
        <v>3030</v>
      </c>
      <c r="B712" s="252" t="s">
        <v>3031</v>
      </c>
    </row>
    <row r="713" spans="1:2">
      <c r="A713" s="253" t="s">
        <v>3032</v>
      </c>
      <c r="B713" s="252" t="s">
        <v>3033</v>
      </c>
    </row>
    <row r="714" spans="1:2">
      <c r="A714" s="253" t="s">
        <v>3034</v>
      </c>
      <c r="B714" s="252" t="s">
        <v>3035</v>
      </c>
    </row>
    <row r="715" spans="1:2">
      <c r="A715" s="253" t="s">
        <v>3036</v>
      </c>
      <c r="B715" s="252" t="s">
        <v>3037</v>
      </c>
    </row>
    <row r="716" spans="1:2">
      <c r="A716" s="253" t="s">
        <v>3038</v>
      </c>
      <c r="B716" s="252" t="s">
        <v>3039</v>
      </c>
    </row>
    <row r="717" spans="1:2">
      <c r="A717" s="253" t="s">
        <v>3040</v>
      </c>
      <c r="B717" s="252" t="s">
        <v>3041</v>
      </c>
    </row>
    <row r="718" spans="1:2">
      <c r="A718" s="253" t="s">
        <v>3042</v>
      </c>
      <c r="B718" s="252" t="s">
        <v>3043</v>
      </c>
    </row>
    <row r="719" spans="1:2">
      <c r="A719" s="253" t="s">
        <v>3044</v>
      </c>
      <c r="B719" s="252" t="s">
        <v>3045</v>
      </c>
    </row>
    <row r="720" spans="1:2">
      <c r="A720" s="253" t="s">
        <v>3046</v>
      </c>
      <c r="B720" s="252" t="s">
        <v>3047</v>
      </c>
    </row>
    <row r="721" spans="1:2">
      <c r="A721" s="253" t="s">
        <v>3048</v>
      </c>
      <c r="B721" s="252" t="s">
        <v>3049</v>
      </c>
    </row>
    <row r="722" spans="1:2">
      <c r="A722" s="253" t="s">
        <v>3050</v>
      </c>
      <c r="B722" s="252" t="s">
        <v>3051</v>
      </c>
    </row>
    <row r="723" spans="1:2">
      <c r="A723" s="253" t="s">
        <v>3052</v>
      </c>
      <c r="B723" s="252" t="s">
        <v>3053</v>
      </c>
    </row>
    <row r="724" spans="1:2">
      <c r="A724" s="253" t="s">
        <v>3054</v>
      </c>
      <c r="B724" s="252" t="s">
        <v>3055</v>
      </c>
    </row>
    <row r="725" spans="1:2">
      <c r="A725" s="253" t="s">
        <v>3056</v>
      </c>
      <c r="B725" s="252" t="s">
        <v>3057</v>
      </c>
    </row>
    <row r="726" spans="1:2">
      <c r="A726" s="253" t="s">
        <v>3058</v>
      </c>
      <c r="B726" s="252" t="s">
        <v>3059</v>
      </c>
    </row>
    <row r="727" spans="1:2">
      <c r="A727" s="253" t="s">
        <v>3060</v>
      </c>
      <c r="B727" s="252" t="s">
        <v>3061</v>
      </c>
    </row>
    <row r="728" spans="1:2">
      <c r="A728" s="253" t="s">
        <v>3062</v>
      </c>
      <c r="B728" s="252" t="s">
        <v>3063</v>
      </c>
    </row>
    <row r="729" spans="1:2">
      <c r="A729" s="253" t="s">
        <v>3064</v>
      </c>
      <c r="B729" s="252" t="s">
        <v>3065</v>
      </c>
    </row>
    <row r="730" spans="1:2">
      <c r="A730" s="253" t="s">
        <v>3066</v>
      </c>
      <c r="B730" s="252" t="s">
        <v>3067</v>
      </c>
    </row>
    <row r="731" spans="1:2">
      <c r="A731" s="253" t="s">
        <v>3068</v>
      </c>
      <c r="B731" s="252" t="s">
        <v>3069</v>
      </c>
    </row>
    <row r="732" spans="1:2">
      <c r="A732" s="253" t="s">
        <v>3070</v>
      </c>
      <c r="B732" s="252" t="s">
        <v>3071</v>
      </c>
    </row>
    <row r="733" spans="1:2">
      <c r="A733" s="253" t="s">
        <v>3072</v>
      </c>
      <c r="B733" s="252" t="s">
        <v>3073</v>
      </c>
    </row>
    <row r="734" spans="1:2">
      <c r="A734" s="253" t="s">
        <v>3074</v>
      </c>
      <c r="B734" s="252" t="s">
        <v>3075</v>
      </c>
    </row>
    <row r="735" spans="1:2">
      <c r="A735" s="253" t="s">
        <v>3076</v>
      </c>
      <c r="B735" s="252" t="s">
        <v>3077</v>
      </c>
    </row>
    <row r="736" spans="1:2">
      <c r="A736" s="253" t="s">
        <v>3078</v>
      </c>
      <c r="B736" s="252" t="s">
        <v>3079</v>
      </c>
    </row>
    <row r="737" spans="1:2">
      <c r="A737" s="253" t="s">
        <v>3080</v>
      </c>
      <c r="B737" s="252" t="s">
        <v>3081</v>
      </c>
    </row>
    <row r="738" spans="1:2">
      <c r="A738" s="253" t="s">
        <v>3082</v>
      </c>
      <c r="B738" s="252" t="s">
        <v>3083</v>
      </c>
    </row>
    <row r="739" spans="1:2">
      <c r="A739" s="253" t="s">
        <v>3084</v>
      </c>
      <c r="B739" s="252" t="s">
        <v>3085</v>
      </c>
    </row>
    <row r="740" spans="1:2">
      <c r="A740" s="253" t="s">
        <v>3086</v>
      </c>
      <c r="B740" s="252" t="s">
        <v>3087</v>
      </c>
    </row>
    <row r="741" spans="1:2">
      <c r="A741" s="253" t="s">
        <v>3088</v>
      </c>
      <c r="B741" s="252" t="s">
        <v>3089</v>
      </c>
    </row>
    <row r="742" spans="1:2">
      <c r="A742" s="253" t="s">
        <v>3090</v>
      </c>
      <c r="B742" s="252" t="s">
        <v>3091</v>
      </c>
    </row>
    <row r="743" spans="1:2">
      <c r="A743" s="253" t="s">
        <v>3092</v>
      </c>
      <c r="B743" s="252" t="s">
        <v>3093</v>
      </c>
    </row>
    <row r="744" spans="1:2">
      <c r="A744" s="253" t="s">
        <v>3094</v>
      </c>
      <c r="B744" s="252" t="s">
        <v>3095</v>
      </c>
    </row>
    <row r="745" spans="1:2">
      <c r="A745" s="253" t="s">
        <v>3096</v>
      </c>
      <c r="B745" s="252" t="s">
        <v>3097</v>
      </c>
    </row>
    <row r="746" spans="1:2">
      <c r="A746" s="253" t="s">
        <v>3098</v>
      </c>
      <c r="B746" s="252" t="s">
        <v>3099</v>
      </c>
    </row>
    <row r="747" spans="1:2">
      <c r="A747" s="253" t="s">
        <v>3100</v>
      </c>
      <c r="B747" s="252" t="s">
        <v>3101</v>
      </c>
    </row>
    <row r="748" spans="1:2">
      <c r="A748" s="253" t="s">
        <v>3102</v>
      </c>
      <c r="B748" s="252" t="s">
        <v>3103</v>
      </c>
    </row>
    <row r="749" spans="1:2">
      <c r="A749" s="253" t="s">
        <v>3104</v>
      </c>
      <c r="B749" s="252" t="s">
        <v>3105</v>
      </c>
    </row>
    <row r="750" spans="1:2">
      <c r="A750" s="253" t="s">
        <v>3106</v>
      </c>
      <c r="B750" s="252" t="s">
        <v>3107</v>
      </c>
    </row>
    <row r="751" spans="1:2">
      <c r="A751" s="253" t="s">
        <v>3108</v>
      </c>
      <c r="B751" s="252" t="s">
        <v>3109</v>
      </c>
    </row>
    <row r="752" spans="1:2">
      <c r="A752" s="253" t="s">
        <v>3110</v>
      </c>
      <c r="B752" s="252" t="s">
        <v>3111</v>
      </c>
    </row>
    <row r="753" spans="1:2">
      <c r="A753" s="253" t="s">
        <v>3112</v>
      </c>
      <c r="B753" s="252" t="s">
        <v>3113</v>
      </c>
    </row>
    <row r="754" spans="1:2">
      <c r="A754" s="253" t="s">
        <v>3114</v>
      </c>
      <c r="B754" s="252" t="s">
        <v>3115</v>
      </c>
    </row>
    <row r="755" spans="1:2">
      <c r="A755" s="253" t="s">
        <v>3116</v>
      </c>
      <c r="B755" s="252" t="s">
        <v>3117</v>
      </c>
    </row>
    <row r="756" spans="1:2">
      <c r="A756" s="253" t="s">
        <v>3118</v>
      </c>
      <c r="B756" s="252" t="s">
        <v>3119</v>
      </c>
    </row>
    <row r="757" spans="1:2">
      <c r="A757" s="253" t="s">
        <v>3120</v>
      </c>
      <c r="B757" s="252" t="s">
        <v>3121</v>
      </c>
    </row>
    <row r="758" spans="1:2">
      <c r="A758" s="253" t="s">
        <v>3122</v>
      </c>
      <c r="B758" s="252" t="s">
        <v>3123</v>
      </c>
    </row>
    <row r="759" spans="1:2">
      <c r="A759" s="253" t="s">
        <v>3124</v>
      </c>
      <c r="B759" s="252" t="s">
        <v>3125</v>
      </c>
    </row>
    <row r="760" spans="1:2">
      <c r="A760" s="253" t="s">
        <v>3126</v>
      </c>
      <c r="B760" s="252" t="s">
        <v>3127</v>
      </c>
    </row>
    <row r="761" spans="1:2">
      <c r="A761" s="253" t="s">
        <v>3128</v>
      </c>
      <c r="B761" s="252" t="s">
        <v>3129</v>
      </c>
    </row>
    <row r="762" spans="1:2">
      <c r="A762" s="253" t="s">
        <v>3130</v>
      </c>
      <c r="B762" s="252" t="s">
        <v>3131</v>
      </c>
    </row>
    <row r="763" spans="1:2">
      <c r="A763" s="253" t="s">
        <v>3132</v>
      </c>
      <c r="B763" s="252" t="s">
        <v>3133</v>
      </c>
    </row>
    <row r="764" spans="1:2">
      <c r="A764" s="253" t="s">
        <v>3134</v>
      </c>
      <c r="B764" s="252" t="s">
        <v>3135</v>
      </c>
    </row>
    <row r="765" spans="1:2">
      <c r="A765" s="253" t="s">
        <v>3136</v>
      </c>
      <c r="B765" s="252" t="s">
        <v>3137</v>
      </c>
    </row>
    <row r="766" spans="1:2">
      <c r="A766" s="253" t="s">
        <v>3138</v>
      </c>
      <c r="B766" s="252" t="s">
        <v>3139</v>
      </c>
    </row>
    <row r="767" spans="1:2">
      <c r="A767" s="253" t="s">
        <v>3140</v>
      </c>
      <c r="B767" s="252" t="s">
        <v>3141</v>
      </c>
    </row>
    <row r="768" spans="1:2">
      <c r="A768" s="253" t="s">
        <v>3142</v>
      </c>
      <c r="B768" s="252" t="s">
        <v>3143</v>
      </c>
    </row>
    <row r="769" spans="1:2">
      <c r="A769" s="253" t="s">
        <v>3144</v>
      </c>
      <c r="B769" s="252" t="s">
        <v>3145</v>
      </c>
    </row>
    <row r="770" spans="1:2">
      <c r="A770" s="253" t="s">
        <v>3146</v>
      </c>
      <c r="B770" s="252" t="s">
        <v>3147</v>
      </c>
    </row>
    <row r="771" spans="1:2">
      <c r="A771" s="253" t="s">
        <v>3148</v>
      </c>
      <c r="B771" s="252" t="s">
        <v>3149</v>
      </c>
    </row>
    <row r="772" spans="1:2">
      <c r="A772" s="253" t="s">
        <v>3150</v>
      </c>
      <c r="B772" s="252" t="s">
        <v>3151</v>
      </c>
    </row>
    <row r="773" spans="1:2">
      <c r="A773" s="253" t="s">
        <v>3152</v>
      </c>
      <c r="B773" s="252" t="s">
        <v>3153</v>
      </c>
    </row>
    <row r="774" spans="1:2">
      <c r="A774" s="253" t="s">
        <v>3154</v>
      </c>
      <c r="B774" s="252" t="s">
        <v>3155</v>
      </c>
    </row>
    <row r="775" spans="1:2">
      <c r="A775" s="253" t="s">
        <v>3156</v>
      </c>
      <c r="B775" s="252" t="s">
        <v>3157</v>
      </c>
    </row>
    <row r="776" spans="1:2">
      <c r="A776" s="253" t="s">
        <v>3158</v>
      </c>
      <c r="B776" s="252" t="s">
        <v>3159</v>
      </c>
    </row>
    <row r="777" spans="1:2">
      <c r="A777" s="253" t="s">
        <v>3160</v>
      </c>
      <c r="B777" s="252" t="s">
        <v>3161</v>
      </c>
    </row>
    <row r="778" spans="1:2">
      <c r="A778" s="253" t="s">
        <v>3162</v>
      </c>
      <c r="B778" s="252" t="s">
        <v>3163</v>
      </c>
    </row>
    <row r="779" spans="1:2">
      <c r="A779" s="253" t="s">
        <v>3164</v>
      </c>
      <c r="B779" s="252" t="s">
        <v>3165</v>
      </c>
    </row>
    <row r="780" spans="1:2">
      <c r="A780" s="253" t="s">
        <v>3166</v>
      </c>
      <c r="B780" s="252" t="s">
        <v>3167</v>
      </c>
    </row>
    <row r="781" spans="1:2">
      <c r="A781" s="253" t="s">
        <v>3168</v>
      </c>
      <c r="B781" s="252" t="s">
        <v>3169</v>
      </c>
    </row>
    <row r="782" spans="1:2">
      <c r="A782" s="253" t="s">
        <v>3170</v>
      </c>
      <c r="B782" s="252" t="s">
        <v>3171</v>
      </c>
    </row>
    <row r="783" spans="1:2">
      <c r="A783" s="253" t="s">
        <v>3172</v>
      </c>
      <c r="B783" s="252" t="s">
        <v>3173</v>
      </c>
    </row>
    <row r="784" spans="1:2">
      <c r="A784" s="253" t="s">
        <v>3174</v>
      </c>
      <c r="B784" s="252" t="s">
        <v>3175</v>
      </c>
    </row>
    <row r="785" spans="1:2">
      <c r="A785" s="253" t="s">
        <v>3176</v>
      </c>
      <c r="B785" s="252" t="s">
        <v>3177</v>
      </c>
    </row>
    <row r="786" spans="1:2">
      <c r="A786" s="253" t="s">
        <v>3178</v>
      </c>
      <c r="B786" s="252" t="s">
        <v>3179</v>
      </c>
    </row>
    <row r="787" spans="1:2">
      <c r="A787" s="253" t="s">
        <v>3180</v>
      </c>
      <c r="B787" s="252" t="s">
        <v>2551</v>
      </c>
    </row>
    <row r="788" spans="1:2">
      <c r="A788" s="253" t="s">
        <v>3181</v>
      </c>
      <c r="B788" s="252" t="s">
        <v>3182</v>
      </c>
    </row>
    <row r="789" spans="1:2">
      <c r="A789" s="253" t="s">
        <v>3183</v>
      </c>
      <c r="B789" s="252" t="s">
        <v>3184</v>
      </c>
    </row>
    <row r="790" spans="1:2">
      <c r="A790" s="253" t="s">
        <v>3185</v>
      </c>
      <c r="B790" s="252" t="s">
        <v>3186</v>
      </c>
    </row>
    <row r="791" spans="1:2">
      <c r="A791" s="253" t="s">
        <v>3187</v>
      </c>
      <c r="B791" s="252" t="s">
        <v>3188</v>
      </c>
    </row>
    <row r="792" spans="1:2">
      <c r="A792" s="253" t="s">
        <v>3189</v>
      </c>
      <c r="B792" s="252" t="s">
        <v>3190</v>
      </c>
    </row>
    <row r="793" spans="1:2">
      <c r="A793" s="253" t="s">
        <v>3191</v>
      </c>
      <c r="B793" s="252" t="s">
        <v>3192</v>
      </c>
    </row>
    <row r="794" spans="1:2">
      <c r="A794" s="253" t="s">
        <v>3193</v>
      </c>
      <c r="B794" s="252" t="s">
        <v>3194</v>
      </c>
    </row>
    <row r="795" spans="1:2">
      <c r="A795" s="253" t="s">
        <v>3195</v>
      </c>
      <c r="B795" s="252" t="s">
        <v>3196</v>
      </c>
    </row>
    <row r="796" spans="1:2">
      <c r="A796" s="253" t="s">
        <v>3197</v>
      </c>
      <c r="B796" s="252" t="s">
        <v>3198</v>
      </c>
    </row>
    <row r="797" spans="1:2">
      <c r="A797" s="253" t="s">
        <v>3199</v>
      </c>
      <c r="B797" s="252" t="s">
        <v>3200</v>
      </c>
    </row>
    <row r="798" spans="1:2">
      <c r="A798" s="253" t="s">
        <v>3201</v>
      </c>
      <c r="B798" s="252" t="s">
        <v>3202</v>
      </c>
    </row>
    <row r="799" spans="1:2">
      <c r="A799" s="253" t="s">
        <v>3203</v>
      </c>
      <c r="B799" s="252" t="s">
        <v>3204</v>
      </c>
    </row>
    <row r="800" spans="1:2">
      <c r="A800" s="253" t="s">
        <v>3205</v>
      </c>
      <c r="B800" s="252" t="s">
        <v>3206</v>
      </c>
    </row>
    <row r="801" spans="1:2">
      <c r="A801" s="253" t="s">
        <v>3207</v>
      </c>
      <c r="B801" s="252" t="s">
        <v>3208</v>
      </c>
    </row>
    <row r="802" spans="1:2">
      <c r="A802" s="253" t="s">
        <v>3209</v>
      </c>
      <c r="B802" s="252" t="s">
        <v>3210</v>
      </c>
    </row>
    <row r="803" spans="1:2">
      <c r="A803" s="253" t="s">
        <v>3211</v>
      </c>
      <c r="B803" s="252" t="s">
        <v>3212</v>
      </c>
    </row>
    <row r="804" spans="1:2">
      <c r="A804" s="253" t="s">
        <v>3213</v>
      </c>
      <c r="B804" s="252" t="s">
        <v>3214</v>
      </c>
    </row>
    <row r="805" spans="1:2">
      <c r="A805" s="253" t="s">
        <v>3215</v>
      </c>
      <c r="B805" s="252" t="s">
        <v>3216</v>
      </c>
    </row>
    <row r="806" spans="1:2">
      <c r="A806" s="253" t="s">
        <v>3217</v>
      </c>
      <c r="B806" s="252" t="s">
        <v>3218</v>
      </c>
    </row>
    <row r="807" spans="1:2">
      <c r="A807" s="253" t="s">
        <v>3219</v>
      </c>
      <c r="B807" s="252" t="s">
        <v>3220</v>
      </c>
    </row>
    <row r="808" spans="1:2">
      <c r="A808" s="253" t="s">
        <v>3221</v>
      </c>
      <c r="B808" s="252" t="s">
        <v>3222</v>
      </c>
    </row>
    <row r="809" spans="1:2">
      <c r="A809" s="253" t="s">
        <v>3223</v>
      </c>
      <c r="B809" s="252" t="s">
        <v>3224</v>
      </c>
    </row>
    <row r="810" spans="1:2">
      <c r="A810" s="253" t="s">
        <v>3225</v>
      </c>
      <c r="B810" s="252" t="s">
        <v>3226</v>
      </c>
    </row>
    <row r="811" spans="1:2">
      <c r="A811" s="253" t="s">
        <v>3227</v>
      </c>
      <c r="B811" s="252" t="s">
        <v>3228</v>
      </c>
    </row>
    <row r="812" spans="1:2">
      <c r="A812" s="253" t="s">
        <v>3229</v>
      </c>
      <c r="B812" s="252" t="s">
        <v>3230</v>
      </c>
    </row>
    <row r="813" spans="1:2">
      <c r="A813" s="253" t="s">
        <v>3231</v>
      </c>
      <c r="B813" s="252" t="s">
        <v>3232</v>
      </c>
    </row>
    <row r="814" spans="1:2">
      <c r="A814" s="253" t="s">
        <v>3233</v>
      </c>
      <c r="B814" s="252" t="s">
        <v>3234</v>
      </c>
    </row>
    <row r="815" spans="1:2">
      <c r="A815" s="253" t="s">
        <v>3235</v>
      </c>
      <c r="B815" s="252" t="s">
        <v>3236</v>
      </c>
    </row>
    <row r="816" spans="1:2">
      <c r="A816" s="253" t="s">
        <v>3237</v>
      </c>
      <c r="B816" s="252" t="s">
        <v>3238</v>
      </c>
    </row>
    <row r="817" spans="1:2">
      <c r="A817" s="253" t="s">
        <v>3239</v>
      </c>
      <c r="B817" s="252" t="s">
        <v>3240</v>
      </c>
    </row>
    <row r="818" spans="1:2">
      <c r="A818" s="253" t="s">
        <v>3241</v>
      </c>
      <c r="B818" s="252" t="s">
        <v>3242</v>
      </c>
    </row>
    <row r="819" spans="1:2">
      <c r="A819" s="253" t="s">
        <v>3243</v>
      </c>
      <c r="B819" s="252" t="s">
        <v>3244</v>
      </c>
    </row>
    <row r="820" spans="1:2">
      <c r="A820" s="253" t="s">
        <v>3245</v>
      </c>
      <c r="B820" s="252" t="s">
        <v>3246</v>
      </c>
    </row>
    <row r="821" spans="1:2">
      <c r="A821" s="253" t="s">
        <v>3247</v>
      </c>
      <c r="B821" s="252" t="s">
        <v>3248</v>
      </c>
    </row>
    <row r="822" spans="1:2">
      <c r="A822" s="253" t="s">
        <v>3249</v>
      </c>
      <c r="B822" s="252" t="s">
        <v>3250</v>
      </c>
    </row>
    <row r="823" spans="1:2">
      <c r="A823" s="253" t="s">
        <v>3251</v>
      </c>
      <c r="B823" s="252" t="s">
        <v>3252</v>
      </c>
    </row>
    <row r="824" spans="1:2">
      <c r="A824" s="253" t="s">
        <v>3253</v>
      </c>
      <c r="B824" s="252" t="s">
        <v>3254</v>
      </c>
    </row>
    <row r="825" spans="1:2">
      <c r="A825" s="253" t="s">
        <v>3255</v>
      </c>
      <c r="B825" s="252" t="s">
        <v>3256</v>
      </c>
    </row>
    <row r="826" spans="1:2">
      <c r="A826" s="253" t="s">
        <v>3257</v>
      </c>
      <c r="B826" s="252" t="s">
        <v>3258</v>
      </c>
    </row>
    <row r="827" spans="1:2">
      <c r="A827" s="253" t="s">
        <v>3259</v>
      </c>
      <c r="B827" s="252" t="s">
        <v>3260</v>
      </c>
    </row>
    <row r="828" spans="1:2">
      <c r="A828" s="253" t="s">
        <v>3261</v>
      </c>
      <c r="B828" s="252" t="s">
        <v>3262</v>
      </c>
    </row>
    <row r="829" spans="1:2">
      <c r="A829" s="253" t="s">
        <v>3263</v>
      </c>
      <c r="B829" s="252" t="s">
        <v>3264</v>
      </c>
    </row>
    <row r="830" spans="1:2">
      <c r="A830" s="253" t="s">
        <v>3265</v>
      </c>
      <c r="B830" s="252" t="s">
        <v>3266</v>
      </c>
    </row>
    <row r="831" spans="1:2">
      <c r="A831" s="253" t="s">
        <v>3267</v>
      </c>
      <c r="B831" s="252" t="s">
        <v>3198</v>
      </c>
    </row>
    <row r="832" spans="1:2">
      <c r="A832" s="253" t="s">
        <v>3268</v>
      </c>
      <c r="B832" s="252" t="s">
        <v>3204</v>
      </c>
    </row>
    <row r="833" spans="1:2">
      <c r="A833" s="253" t="s">
        <v>3269</v>
      </c>
      <c r="B833" s="252" t="s">
        <v>3270</v>
      </c>
    </row>
    <row r="834" spans="1:2">
      <c r="A834" s="253" t="s">
        <v>3271</v>
      </c>
      <c r="B834" s="252" t="s">
        <v>3272</v>
      </c>
    </row>
    <row r="835" spans="1:2">
      <c r="A835" s="253" t="s">
        <v>3273</v>
      </c>
      <c r="B835" s="252" t="s">
        <v>3274</v>
      </c>
    </row>
    <row r="836" spans="1:2">
      <c r="A836" s="253" t="s">
        <v>3275</v>
      </c>
      <c r="B836" s="252" t="s">
        <v>3276</v>
      </c>
    </row>
    <row r="837" spans="1:2">
      <c r="A837" s="253" t="s">
        <v>3277</v>
      </c>
      <c r="B837" s="252" t="s">
        <v>3278</v>
      </c>
    </row>
    <row r="838" spans="1:2">
      <c r="A838" s="253" t="s">
        <v>3279</v>
      </c>
      <c r="B838" s="252" t="s">
        <v>3280</v>
      </c>
    </row>
    <row r="839" spans="1:2">
      <c r="A839" s="253" t="s">
        <v>3281</v>
      </c>
      <c r="B839" s="252" t="s">
        <v>3282</v>
      </c>
    </row>
    <row r="840" spans="1:2">
      <c r="A840" s="253" t="s">
        <v>3283</v>
      </c>
      <c r="B840" s="252" t="s">
        <v>3284</v>
      </c>
    </row>
    <row r="841" spans="1:2">
      <c r="A841" s="253" t="s">
        <v>3285</v>
      </c>
      <c r="B841" s="252" t="s">
        <v>3286</v>
      </c>
    </row>
    <row r="842" spans="1:2">
      <c r="A842" s="253" t="s">
        <v>3287</v>
      </c>
      <c r="B842" s="252" t="s">
        <v>3288</v>
      </c>
    </row>
    <row r="843" spans="1:2">
      <c r="A843" s="253" t="s">
        <v>3289</v>
      </c>
      <c r="B843" s="252" t="s">
        <v>3290</v>
      </c>
    </row>
    <row r="844" spans="1:2">
      <c r="A844" s="253" t="s">
        <v>3291</v>
      </c>
      <c r="B844" s="252" t="s">
        <v>3292</v>
      </c>
    </row>
    <row r="845" spans="1:2">
      <c r="A845" s="253" t="s">
        <v>3293</v>
      </c>
      <c r="B845" s="252" t="s">
        <v>3294</v>
      </c>
    </row>
    <row r="846" spans="1:2">
      <c r="A846" s="253" t="s">
        <v>3295</v>
      </c>
      <c r="B846" s="252" t="s">
        <v>3296</v>
      </c>
    </row>
    <row r="847" spans="1:2">
      <c r="A847" s="253" t="s">
        <v>3297</v>
      </c>
      <c r="B847" s="252" t="s">
        <v>3298</v>
      </c>
    </row>
    <row r="848" spans="1:2">
      <c r="A848" s="253" t="s">
        <v>3299</v>
      </c>
      <c r="B848" s="252" t="s">
        <v>3300</v>
      </c>
    </row>
    <row r="849" spans="1:2">
      <c r="A849" s="253" t="s">
        <v>3301</v>
      </c>
      <c r="B849" s="252" t="s">
        <v>3302</v>
      </c>
    </row>
    <row r="850" spans="1:2">
      <c r="A850" s="253" t="s">
        <v>3303</v>
      </c>
      <c r="B850" s="252" t="s">
        <v>3304</v>
      </c>
    </row>
    <row r="851" spans="1:2">
      <c r="A851" s="253" t="s">
        <v>3305</v>
      </c>
      <c r="B851" s="252" t="s">
        <v>3306</v>
      </c>
    </row>
    <row r="852" spans="1:2">
      <c r="A852" s="253" t="s">
        <v>3307</v>
      </c>
      <c r="B852" s="252" t="s">
        <v>3308</v>
      </c>
    </row>
    <row r="853" spans="1:2">
      <c r="A853" s="253" t="s">
        <v>3309</v>
      </c>
      <c r="B853" s="252" t="s">
        <v>3310</v>
      </c>
    </row>
    <row r="854" spans="1:2">
      <c r="A854" s="253" t="s">
        <v>3311</v>
      </c>
      <c r="B854" s="252" t="s">
        <v>3312</v>
      </c>
    </row>
    <row r="855" spans="1:2">
      <c r="A855" s="253" t="s">
        <v>3313</v>
      </c>
      <c r="B855" s="252" t="s">
        <v>3314</v>
      </c>
    </row>
    <row r="856" spans="1:2">
      <c r="A856" s="253" t="s">
        <v>3315</v>
      </c>
      <c r="B856" s="252" t="s">
        <v>3316</v>
      </c>
    </row>
    <row r="857" spans="1:2">
      <c r="A857" s="253" t="s">
        <v>3317</v>
      </c>
      <c r="B857" s="252" t="s">
        <v>3318</v>
      </c>
    </row>
    <row r="858" spans="1:2">
      <c r="A858" s="253" t="s">
        <v>3319</v>
      </c>
      <c r="B858" s="252" t="s">
        <v>3320</v>
      </c>
    </row>
    <row r="859" spans="1:2">
      <c r="A859" s="253" t="s">
        <v>3321</v>
      </c>
      <c r="B859" s="252" t="s">
        <v>3322</v>
      </c>
    </row>
    <row r="860" spans="1:2">
      <c r="A860" s="253" t="s">
        <v>3323</v>
      </c>
      <c r="B860" s="252" t="s">
        <v>3324</v>
      </c>
    </row>
    <row r="861" spans="1:2">
      <c r="A861" s="253" t="s">
        <v>3325</v>
      </c>
      <c r="B861" s="252" t="s">
        <v>3326</v>
      </c>
    </row>
    <row r="862" spans="1:2">
      <c r="A862" s="253" t="s">
        <v>3327</v>
      </c>
      <c r="B862" s="252" t="s">
        <v>3328</v>
      </c>
    </row>
    <row r="863" spans="1:2">
      <c r="A863" s="253" t="s">
        <v>3329</v>
      </c>
      <c r="B863" s="252" t="s">
        <v>3330</v>
      </c>
    </row>
    <row r="864" spans="1:2">
      <c r="A864" s="253" t="s">
        <v>3331</v>
      </c>
      <c r="B864" s="252" t="s">
        <v>3332</v>
      </c>
    </row>
    <row r="865" spans="1:2">
      <c r="A865" s="253" t="s">
        <v>3333</v>
      </c>
      <c r="B865" s="252" t="s">
        <v>3334</v>
      </c>
    </row>
    <row r="866" spans="1:2">
      <c r="A866" s="253" t="s">
        <v>3335</v>
      </c>
      <c r="B866" s="252" t="s">
        <v>2981</v>
      </c>
    </row>
    <row r="867" spans="1:2">
      <c r="A867" s="253" t="s">
        <v>3336</v>
      </c>
      <c r="B867" s="252" t="s">
        <v>3337</v>
      </c>
    </row>
    <row r="868" spans="1:2">
      <c r="A868" s="253" t="s">
        <v>3338</v>
      </c>
      <c r="B868" s="252" t="s">
        <v>3339</v>
      </c>
    </row>
    <row r="869" spans="1:2">
      <c r="A869" s="253" t="s">
        <v>3340</v>
      </c>
      <c r="B869" s="252" t="s">
        <v>3341</v>
      </c>
    </row>
    <row r="870" spans="1:2">
      <c r="A870" s="253" t="s">
        <v>3342</v>
      </c>
      <c r="B870" s="252" t="s">
        <v>3343</v>
      </c>
    </row>
    <row r="871" spans="1:2">
      <c r="A871" s="253" t="s">
        <v>3344</v>
      </c>
      <c r="B871" s="252" t="s">
        <v>3345</v>
      </c>
    </row>
    <row r="872" spans="1:2">
      <c r="A872" s="253" t="s">
        <v>3346</v>
      </c>
      <c r="B872" s="252" t="s">
        <v>3347</v>
      </c>
    </row>
    <row r="873" spans="1:2">
      <c r="A873" s="253" t="s">
        <v>3348</v>
      </c>
      <c r="B873" s="252" t="s">
        <v>3349</v>
      </c>
    </row>
    <row r="874" spans="1:2">
      <c r="A874" s="253" t="s">
        <v>3350</v>
      </c>
      <c r="B874" s="252" t="s">
        <v>3351</v>
      </c>
    </row>
    <row r="875" spans="1:2">
      <c r="A875" s="253" t="s">
        <v>3352</v>
      </c>
      <c r="B875" s="252" t="s">
        <v>3353</v>
      </c>
    </row>
    <row r="876" spans="1:2">
      <c r="A876" s="253" t="s">
        <v>3354</v>
      </c>
      <c r="B876" s="252" t="s">
        <v>3355</v>
      </c>
    </row>
    <row r="877" spans="1:2">
      <c r="A877" s="253" t="s">
        <v>3356</v>
      </c>
      <c r="B877" s="252" t="s">
        <v>3357</v>
      </c>
    </row>
    <row r="878" spans="1:2">
      <c r="A878" s="248" t="s">
        <v>148</v>
      </c>
      <c r="B878" s="249" t="s">
        <v>1949</v>
      </c>
    </row>
    <row r="879" spans="1:2">
      <c r="A879" s="253" t="s">
        <v>984</v>
      </c>
      <c r="B879" s="252" t="s">
        <v>985</v>
      </c>
    </row>
    <row r="880" spans="1:2">
      <c r="A880" s="253" t="s">
        <v>986</v>
      </c>
      <c r="B880" s="252" t="s">
        <v>987</v>
      </c>
    </row>
    <row r="881" spans="1:2">
      <c r="A881" s="253" t="s">
        <v>988</v>
      </c>
      <c r="B881" s="252" t="s">
        <v>989</v>
      </c>
    </row>
    <row r="882" spans="1:2">
      <c r="A882" s="253" t="s">
        <v>1759</v>
      </c>
      <c r="B882" s="252" t="s">
        <v>1760</v>
      </c>
    </row>
    <row r="883" spans="1:2">
      <c r="A883" s="253" t="s">
        <v>1761</v>
      </c>
      <c r="B883" s="252" t="s">
        <v>1762</v>
      </c>
    </row>
    <row r="884" spans="1:2">
      <c r="A884" s="253" t="s">
        <v>3358</v>
      </c>
      <c r="B884" s="252" t="s">
        <v>3359</v>
      </c>
    </row>
    <row r="885" spans="1:2">
      <c r="A885" s="248" t="s">
        <v>1951</v>
      </c>
      <c r="B885" s="249" t="s">
        <v>2130</v>
      </c>
    </row>
    <row r="886" spans="1:2">
      <c r="A886" s="253" t="s">
        <v>3360</v>
      </c>
      <c r="B886" s="252" t="s">
        <v>3361</v>
      </c>
    </row>
    <row r="887" spans="1:2">
      <c r="A887" s="253" t="s">
        <v>3362</v>
      </c>
      <c r="B887" s="252" t="s">
        <v>3363</v>
      </c>
    </row>
    <row r="888" spans="1:2">
      <c r="A888" s="253" t="s">
        <v>3364</v>
      </c>
      <c r="B888" s="252" t="s">
        <v>3365</v>
      </c>
    </row>
    <row r="889" spans="1:2">
      <c r="A889" s="253" t="s">
        <v>3366</v>
      </c>
      <c r="B889" s="252" t="s">
        <v>3365</v>
      </c>
    </row>
    <row r="890" spans="1:2">
      <c r="A890" s="253" t="s">
        <v>3367</v>
      </c>
      <c r="B890" s="252" t="s">
        <v>3368</v>
      </c>
    </row>
    <row r="891" spans="1:2">
      <c r="A891" s="253" t="s">
        <v>3369</v>
      </c>
      <c r="B891" s="252" t="s">
        <v>3370</v>
      </c>
    </row>
    <row r="892" spans="1:2">
      <c r="A892" s="248" t="s">
        <v>258</v>
      </c>
      <c r="B892" s="249" t="s">
        <v>1854</v>
      </c>
    </row>
    <row r="893" spans="1:2">
      <c r="A893" s="253" t="s">
        <v>990</v>
      </c>
      <c r="B893" s="252" t="s">
        <v>340</v>
      </c>
    </row>
    <row r="894" spans="1:2">
      <c r="A894" s="253" t="s">
        <v>991</v>
      </c>
      <c r="B894" s="252" t="s">
        <v>341</v>
      </c>
    </row>
    <row r="895" spans="1:2">
      <c r="A895" s="253" t="s">
        <v>992</v>
      </c>
      <c r="B895" s="252" t="s">
        <v>993</v>
      </c>
    </row>
    <row r="896" spans="1:2">
      <c r="A896" s="253" t="s">
        <v>994</v>
      </c>
      <c r="B896" s="252" t="s">
        <v>995</v>
      </c>
    </row>
    <row r="897" spans="1:2">
      <c r="A897" s="253" t="s">
        <v>1763</v>
      </c>
      <c r="B897" s="252" t="s">
        <v>1316</v>
      </c>
    </row>
    <row r="898" spans="1:2">
      <c r="A898" s="253" t="s">
        <v>3371</v>
      </c>
      <c r="B898" s="252" t="s">
        <v>3372</v>
      </c>
    </row>
    <row r="899" spans="1:2">
      <c r="A899" s="253" t="s">
        <v>3373</v>
      </c>
      <c r="B899" s="252" t="s">
        <v>1323</v>
      </c>
    </row>
    <row r="900" spans="1:2">
      <c r="A900" s="248" t="s">
        <v>786</v>
      </c>
      <c r="B900" s="249" t="s">
        <v>787</v>
      </c>
    </row>
    <row r="901" spans="1:2">
      <c r="A901" s="253" t="s">
        <v>996</v>
      </c>
      <c r="B901" s="252" t="s">
        <v>997</v>
      </c>
    </row>
    <row r="902" spans="1:2">
      <c r="A902" s="253" t="s">
        <v>998</v>
      </c>
      <c r="B902" s="252" t="s">
        <v>999</v>
      </c>
    </row>
    <row r="903" spans="1:2">
      <c r="A903" s="253" t="s">
        <v>1000</v>
      </c>
      <c r="B903" s="252" t="s">
        <v>1001</v>
      </c>
    </row>
    <row r="904" spans="1:2">
      <c r="A904" s="253" t="s">
        <v>3374</v>
      </c>
      <c r="B904" s="252" t="s">
        <v>3375</v>
      </c>
    </row>
    <row r="905" spans="1:2">
      <c r="A905" s="253" t="s">
        <v>3376</v>
      </c>
      <c r="B905" s="252" t="s">
        <v>3377</v>
      </c>
    </row>
    <row r="906" spans="1:2">
      <c r="A906" s="248" t="s">
        <v>788</v>
      </c>
      <c r="B906" s="249" t="s">
        <v>789</v>
      </c>
    </row>
    <row r="907" spans="1:2">
      <c r="A907" s="253" t="s">
        <v>1002</v>
      </c>
      <c r="B907" s="252" t="s">
        <v>1003</v>
      </c>
    </row>
    <row r="908" spans="1:2">
      <c r="A908" s="247" t="s">
        <v>631</v>
      </c>
      <c r="B908" s="251" t="s">
        <v>1061</v>
      </c>
    </row>
    <row r="909" spans="1:2">
      <c r="A909" s="248" t="s">
        <v>796</v>
      </c>
      <c r="B909" s="249" t="s">
        <v>1950</v>
      </c>
    </row>
    <row r="910" spans="1:2">
      <c r="A910" s="253" t="s">
        <v>1004</v>
      </c>
      <c r="B910" s="252" t="s">
        <v>1005</v>
      </c>
    </row>
    <row r="911" spans="1:2">
      <c r="A911" s="253" t="s">
        <v>1006</v>
      </c>
      <c r="B911" s="252" t="s">
        <v>1007</v>
      </c>
    </row>
    <row r="912" spans="1:2">
      <c r="A912" s="253" t="s">
        <v>1008</v>
      </c>
      <c r="B912" s="252" t="s">
        <v>1009</v>
      </c>
    </row>
    <row r="913" spans="1:2">
      <c r="A913" s="253" t="s">
        <v>1010</v>
      </c>
      <c r="B913" s="252" t="s">
        <v>1011</v>
      </c>
    </row>
    <row r="914" spans="1:2">
      <c r="A914" s="253" t="s">
        <v>1012</v>
      </c>
      <c r="B914" s="252" t="s">
        <v>1013</v>
      </c>
    </row>
    <row r="915" spans="1:2">
      <c r="A915" s="253" t="s">
        <v>1014</v>
      </c>
      <c r="B915" s="252" t="s">
        <v>1015</v>
      </c>
    </row>
    <row r="916" spans="1:2">
      <c r="A916" s="253" t="s">
        <v>1016</v>
      </c>
      <c r="B916" s="252" t="s">
        <v>1017</v>
      </c>
    </row>
    <row r="917" spans="1:2">
      <c r="A917" s="253" t="s">
        <v>1018</v>
      </c>
      <c r="B917" s="252" t="s">
        <v>1019</v>
      </c>
    </row>
    <row r="918" spans="1:2">
      <c r="A918" s="253" t="s">
        <v>1020</v>
      </c>
      <c r="B918" s="252" t="s">
        <v>1021</v>
      </c>
    </row>
    <row r="919" spans="1:2">
      <c r="A919" s="253" t="s">
        <v>1022</v>
      </c>
      <c r="B919" s="252" t="s">
        <v>1023</v>
      </c>
    </row>
    <row r="920" spans="1:2">
      <c r="A920" s="253" t="s">
        <v>1024</v>
      </c>
      <c r="B920" s="252" t="s">
        <v>1025</v>
      </c>
    </row>
    <row r="921" spans="1:2">
      <c r="A921" s="253" t="s">
        <v>1026</v>
      </c>
      <c r="B921" s="252" t="s">
        <v>1027</v>
      </c>
    </row>
    <row r="922" spans="1:2">
      <c r="A922" s="253" t="s">
        <v>1028</v>
      </c>
      <c r="B922" s="252" t="s">
        <v>1029</v>
      </c>
    </row>
    <row r="923" spans="1:2">
      <c r="A923" s="253" t="s">
        <v>1030</v>
      </c>
      <c r="B923" s="252" t="s">
        <v>1031</v>
      </c>
    </row>
    <row r="924" spans="1:2">
      <c r="A924" s="253" t="s">
        <v>1032</v>
      </c>
      <c r="B924" s="252" t="s">
        <v>1033</v>
      </c>
    </row>
    <row r="925" spans="1:2">
      <c r="A925" s="253" t="s">
        <v>1034</v>
      </c>
      <c r="B925" s="252" t="s">
        <v>1035</v>
      </c>
    </row>
    <row r="926" spans="1:2">
      <c r="A926" s="253" t="s">
        <v>1036</v>
      </c>
      <c r="B926" s="252" t="s">
        <v>1037</v>
      </c>
    </row>
    <row r="927" spans="1:2">
      <c r="A927" s="253" t="s">
        <v>1038</v>
      </c>
      <c r="B927" s="252" t="s">
        <v>1039</v>
      </c>
    </row>
    <row r="928" spans="1:2">
      <c r="A928" s="253" t="s">
        <v>1040</v>
      </c>
      <c r="B928" s="252" t="s">
        <v>1041</v>
      </c>
    </row>
    <row r="929" spans="1:2">
      <c r="A929" s="253" t="s">
        <v>1042</v>
      </c>
      <c r="B929" s="252" t="s">
        <v>1043</v>
      </c>
    </row>
    <row r="930" spans="1:2">
      <c r="A930" s="253" t="s">
        <v>1044</v>
      </c>
      <c r="B930" s="252" t="s">
        <v>1045</v>
      </c>
    </row>
    <row r="931" spans="1:2">
      <c r="A931" s="253" t="s">
        <v>1046</v>
      </c>
      <c r="B931" s="252" t="s">
        <v>1047</v>
      </c>
    </row>
    <row r="932" spans="1:2">
      <c r="A932" s="253" t="s">
        <v>1048</v>
      </c>
      <c r="B932" s="252" t="s">
        <v>1049</v>
      </c>
    </row>
    <row r="933" spans="1:2">
      <c r="A933" s="253" t="s">
        <v>1050</v>
      </c>
      <c r="B933" s="252" t="s">
        <v>1051</v>
      </c>
    </row>
    <row r="934" spans="1:2">
      <c r="A934" s="253" t="s">
        <v>1764</v>
      </c>
      <c r="B934" s="252" t="s">
        <v>1765</v>
      </c>
    </row>
    <row r="935" spans="1:2">
      <c r="A935" s="253" t="s">
        <v>1766</v>
      </c>
      <c r="B935" s="252" t="s">
        <v>1767</v>
      </c>
    </row>
    <row r="936" spans="1:2">
      <c r="A936" s="253" t="s">
        <v>1768</v>
      </c>
      <c r="B936" s="252" t="s">
        <v>1769</v>
      </c>
    </row>
    <row r="937" spans="1:2">
      <c r="A937" s="253" t="s">
        <v>1770</v>
      </c>
      <c r="B937" s="252" t="s">
        <v>1771</v>
      </c>
    </row>
    <row r="938" spans="1:2">
      <c r="A938" s="253" t="s">
        <v>1772</v>
      </c>
      <c r="B938" s="252" t="s">
        <v>1773</v>
      </c>
    </row>
    <row r="939" spans="1:2">
      <c r="A939" s="253" t="s">
        <v>1774</v>
      </c>
      <c r="B939" s="252" t="s">
        <v>1775</v>
      </c>
    </row>
    <row r="940" spans="1:2">
      <c r="A940" s="253" t="s">
        <v>1776</v>
      </c>
      <c r="B940" s="252" t="s">
        <v>1777</v>
      </c>
    </row>
    <row r="941" spans="1:2">
      <c r="A941" s="253" t="s">
        <v>1778</v>
      </c>
      <c r="B941" s="252" t="s">
        <v>1779</v>
      </c>
    </row>
    <row r="942" spans="1:2">
      <c r="A942" s="253" t="s">
        <v>1780</v>
      </c>
      <c r="B942" s="252" t="s">
        <v>1781</v>
      </c>
    </row>
    <row r="943" spans="1:2">
      <c r="A943" s="253" t="s">
        <v>1782</v>
      </c>
      <c r="B943" s="252" t="s">
        <v>1783</v>
      </c>
    </row>
    <row r="944" spans="1:2">
      <c r="A944" s="253" t="s">
        <v>1784</v>
      </c>
      <c r="B944" s="252" t="s">
        <v>1785</v>
      </c>
    </row>
    <row r="945" spans="1:2">
      <c r="A945" s="253" t="s">
        <v>1786</v>
      </c>
      <c r="B945" s="252" t="s">
        <v>1787</v>
      </c>
    </row>
    <row r="946" spans="1:2">
      <c r="A946" s="253" t="s">
        <v>1788</v>
      </c>
      <c r="B946" s="252" t="s">
        <v>1789</v>
      </c>
    </row>
    <row r="947" spans="1:2">
      <c r="A947" s="253" t="s">
        <v>1790</v>
      </c>
      <c r="B947" s="252" t="s">
        <v>1791</v>
      </c>
    </row>
    <row r="948" spans="1:2">
      <c r="A948" s="253" t="s">
        <v>1792</v>
      </c>
      <c r="B948" s="252" t="s">
        <v>1793</v>
      </c>
    </row>
    <row r="949" spans="1:2">
      <c r="A949" s="253" t="s">
        <v>1794</v>
      </c>
      <c r="B949" s="252" t="s">
        <v>1795</v>
      </c>
    </row>
    <row r="950" spans="1:2">
      <c r="A950" s="253" t="s">
        <v>1796</v>
      </c>
      <c r="B950" s="252" t="s">
        <v>1797</v>
      </c>
    </row>
    <row r="951" spans="1:2">
      <c r="A951" s="253" t="s">
        <v>1798</v>
      </c>
      <c r="B951" s="252" t="s">
        <v>1799</v>
      </c>
    </row>
    <row r="952" spans="1:2">
      <c r="A952" s="253" t="s">
        <v>1800</v>
      </c>
      <c r="B952" s="252" t="s">
        <v>1801</v>
      </c>
    </row>
    <row r="953" spans="1:2">
      <c r="A953" s="253" t="s">
        <v>1802</v>
      </c>
      <c r="B953" s="252" t="s">
        <v>1803</v>
      </c>
    </row>
    <row r="954" spans="1:2">
      <c r="A954" s="253" t="s">
        <v>1804</v>
      </c>
      <c r="B954" s="252" t="s">
        <v>1805</v>
      </c>
    </row>
    <row r="955" spans="1:2">
      <c r="A955" s="253" t="s">
        <v>1806</v>
      </c>
      <c r="B955" s="252" t="s">
        <v>1807</v>
      </c>
    </row>
    <row r="956" spans="1:2">
      <c r="A956" s="253" t="s">
        <v>1808</v>
      </c>
      <c r="B956" s="252" t="s">
        <v>1809</v>
      </c>
    </row>
    <row r="957" spans="1:2">
      <c r="A957" s="253" t="s">
        <v>1810</v>
      </c>
      <c r="B957" s="252" t="s">
        <v>1811</v>
      </c>
    </row>
    <row r="958" spans="1:2">
      <c r="A958" s="253" t="s">
        <v>1812</v>
      </c>
      <c r="B958" s="252" t="s">
        <v>1813</v>
      </c>
    </row>
    <row r="959" spans="1:2">
      <c r="A959" s="253" t="s">
        <v>1814</v>
      </c>
      <c r="B959" s="252" t="s">
        <v>1815</v>
      </c>
    </row>
    <row r="960" spans="1:2">
      <c r="A960" s="253" t="s">
        <v>3378</v>
      </c>
      <c r="B960" s="252" t="s">
        <v>3379</v>
      </c>
    </row>
    <row r="961" spans="1:2">
      <c r="A961" s="253" t="s">
        <v>3380</v>
      </c>
      <c r="B961" s="252" t="s">
        <v>3381</v>
      </c>
    </row>
    <row r="962" spans="1:2">
      <c r="A962" s="253" t="s">
        <v>3382</v>
      </c>
      <c r="B962" s="252" t="s">
        <v>3383</v>
      </c>
    </row>
    <row r="963" spans="1:2">
      <c r="A963" s="253" t="s">
        <v>3384</v>
      </c>
      <c r="B963" s="252" t="s">
        <v>3385</v>
      </c>
    </row>
    <row r="964" spans="1:2">
      <c r="A964" s="253" t="s">
        <v>3386</v>
      </c>
      <c r="B964" s="252" t="s">
        <v>3387</v>
      </c>
    </row>
    <row r="965" spans="1:2">
      <c r="A965" s="253" t="s">
        <v>3388</v>
      </c>
      <c r="B965" s="252" t="s">
        <v>3389</v>
      </c>
    </row>
    <row r="966" spans="1:2">
      <c r="A966" s="253" t="s">
        <v>3390</v>
      </c>
      <c r="B966" s="252" t="s">
        <v>3391</v>
      </c>
    </row>
    <row r="967" spans="1:2">
      <c r="A967" s="253" t="s">
        <v>3392</v>
      </c>
      <c r="B967" s="252" t="s">
        <v>3393</v>
      </c>
    </row>
    <row r="968" spans="1:2">
      <c r="A968" s="253" t="s">
        <v>3394</v>
      </c>
      <c r="B968" s="252" t="s">
        <v>3395</v>
      </c>
    </row>
    <row r="969" spans="1:2">
      <c r="A969" s="253" t="s">
        <v>3396</v>
      </c>
      <c r="B969" s="252" t="s">
        <v>3397</v>
      </c>
    </row>
    <row r="970" spans="1:2">
      <c r="A970" s="253" t="s">
        <v>3398</v>
      </c>
      <c r="B970" s="252" t="s">
        <v>3399</v>
      </c>
    </row>
    <row r="971" spans="1:2">
      <c r="A971" s="253" t="s">
        <v>3400</v>
      </c>
      <c r="B971" s="252" t="s">
        <v>3401</v>
      </c>
    </row>
    <row r="972" spans="1:2">
      <c r="A972" s="253" t="s">
        <v>3402</v>
      </c>
      <c r="B972" s="252" t="s">
        <v>3403</v>
      </c>
    </row>
    <row r="973" spans="1:2">
      <c r="A973" s="253" t="s">
        <v>3404</v>
      </c>
      <c r="B973" s="252" t="s">
        <v>3405</v>
      </c>
    </row>
    <row r="974" spans="1:2">
      <c r="A974" s="253" t="s">
        <v>3406</v>
      </c>
      <c r="B974" s="252" t="s">
        <v>3407</v>
      </c>
    </row>
    <row r="975" spans="1:2">
      <c r="A975" s="253" t="s">
        <v>3408</v>
      </c>
      <c r="B975" s="252" t="s">
        <v>3409</v>
      </c>
    </row>
    <row r="976" spans="1:2">
      <c r="A976" s="253" t="s">
        <v>3410</v>
      </c>
      <c r="B976" s="252" t="s">
        <v>3411</v>
      </c>
    </row>
    <row r="977" spans="1:2">
      <c r="A977" s="253" t="s">
        <v>3412</v>
      </c>
      <c r="B977" s="252" t="s">
        <v>3413</v>
      </c>
    </row>
    <row r="978" spans="1:2">
      <c r="A978" s="253" t="s">
        <v>3414</v>
      </c>
      <c r="B978" s="252" t="s">
        <v>3415</v>
      </c>
    </row>
    <row r="979" spans="1:2">
      <c r="A979" s="253" t="s">
        <v>3416</v>
      </c>
      <c r="B979" s="252" t="s">
        <v>3417</v>
      </c>
    </row>
    <row r="980" spans="1:2">
      <c r="A980" s="253" t="s">
        <v>3418</v>
      </c>
      <c r="B980" s="252" t="s">
        <v>3419</v>
      </c>
    </row>
    <row r="981" spans="1:2">
      <c r="A981" s="253" t="s">
        <v>3420</v>
      </c>
      <c r="B981" s="252" t="s">
        <v>3421</v>
      </c>
    </row>
    <row r="982" spans="1:2">
      <c r="A982" s="253" t="s">
        <v>3422</v>
      </c>
      <c r="B982" s="252" t="s">
        <v>3421</v>
      </c>
    </row>
    <row r="983" spans="1:2">
      <c r="A983" s="253" t="s">
        <v>3423</v>
      </c>
      <c r="B983" s="252" t="s">
        <v>3424</v>
      </c>
    </row>
    <row r="984" spans="1:2">
      <c r="A984" s="253" t="s">
        <v>3425</v>
      </c>
      <c r="B984" s="252" t="s">
        <v>3426</v>
      </c>
    </row>
    <row r="985" spans="1:2">
      <c r="A985" s="253" t="s">
        <v>3427</v>
      </c>
      <c r="B985" s="252" t="s">
        <v>3428</v>
      </c>
    </row>
    <row r="986" spans="1:2">
      <c r="A986" s="253" t="s">
        <v>3429</v>
      </c>
      <c r="B986" s="252" t="s">
        <v>3430</v>
      </c>
    </row>
    <row r="987" spans="1:2">
      <c r="A987" s="253" t="s">
        <v>3431</v>
      </c>
      <c r="B987" s="252" t="s">
        <v>3432</v>
      </c>
    </row>
    <row r="988" spans="1:2">
      <c r="A988" s="253" t="s">
        <v>3433</v>
      </c>
      <c r="B988" s="252" t="s">
        <v>3434</v>
      </c>
    </row>
    <row r="989" spans="1:2">
      <c r="A989" s="253" t="s">
        <v>3435</v>
      </c>
      <c r="B989" s="252" t="s">
        <v>3436</v>
      </c>
    </row>
    <row r="990" spans="1:2">
      <c r="A990" s="253" t="s">
        <v>3437</v>
      </c>
      <c r="B990" s="252" t="s">
        <v>3438</v>
      </c>
    </row>
    <row r="991" spans="1:2">
      <c r="A991" s="253" t="s">
        <v>3439</v>
      </c>
      <c r="B991" s="252" t="s">
        <v>3440</v>
      </c>
    </row>
    <row r="992" spans="1:2">
      <c r="A992" s="253" t="s">
        <v>3441</v>
      </c>
      <c r="B992" s="252" t="s">
        <v>3442</v>
      </c>
    </row>
    <row r="993" spans="1:2">
      <c r="A993" s="253" t="s">
        <v>3443</v>
      </c>
      <c r="B993" s="252" t="s">
        <v>3444</v>
      </c>
    </row>
    <row r="994" spans="1:2">
      <c r="A994" s="253" t="s">
        <v>3445</v>
      </c>
      <c r="B994" s="252" t="s">
        <v>3446</v>
      </c>
    </row>
    <row r="995" spans="1:2">
      <c r="A995" s="253" t="s">
        <v>3447</v>
      </c>
      <c r="B995" s="252" t="s">
        <v>3448</v>
      </c>
    </row>
    <row r="996" spans="1:2">
      <c r="A996" s="253" t="s">
        <v>3449</v>
      </c>
      <c r="B996" s="252" t="s">
        <v>3448</v>
      </c>
    </row>
    <row r="997" spans="1:2">
      <c r="A997" s="253" t="s">
        <v>3450</v>
      </c>
      <c r="B997" s="252" t="s">
        <v>3451</v>
      </c>
    </row>
    <row r="998" spans="1:2">
      <c r="A998" s="253" t="s">
        <v>3452</v>
      </c>
      <c r="B998" s="252" t="s">
        <v>3453</v>
      </c>
    </row>
    <row r="999" spans="1:2">
      <c r="A999" s="253" t="s">
        <v>3454</v>
      </c>
      <c r="B999" s="252" t="s">
        <v>3455</v>
      </c>
    </row>
    <row r="1000" spans="1:2">
      <c r="A1000" s="253" t="s">
        <v>3456</v>
      </c>
      <c r="B1000" s="252" t="s">
        <v>3457</v>
      </c>
    </row>
    <row r="1001" spans="1:2">
      <c r="A1001" s="253" t="s">
        <v>3458</v>
      </c>
      <c r="B1001" s="252" t="s">
        <v>1795</v>
      </c>
    </row>
    <row r="1002" spans="1:2">
      <c r="A1002" s="253" t="s">
        <v>3459</v>
      </c>
      <c r="B1002" s="252" t="s">
        <v>3460</v>
      </c>
    </row>
    <row r="1003" spans="1:2">
      <c r="A1003" s="253" t="s">
        <v>3461</v>
      </c>
      <c r="B1003" s="252" t="s">
        <v>3462</v>
      </c>
    </row>
    <row r="1004" spans="1:2">
      <c r="A1004" s="253" t="s">
        <v>3463</v>
      </c>
      <c r="B1004" s="252" t="s">
        <v>3464</v>
      </c>
    </row>
    <row r="1005" spans="1:2">
      <c r="A1005" s="253" t="s">
        <v>3465</v>
      </c>
      <c r="B1005" s="252" t="s">
        <v>3466</v>
      </c>
    </row>
    <row r="1006" spans="1:2">
      <c r="A1006" s="253" t="s">
        <v>3467</v>
      </c>
      <c r="B1006" s="252" t="s">
        <v>3468</v>
      </c>
    </row>
    <row r="1007" spans="1:2">
      <c r="A1007" s="253" t="s">
        <v>3469</v>
      </c>
      <c r="B1007" s="252" t="s">
        <v>3446</v>
      </c>
    </row>
    <row r="1008" spans="1:2">
      <c r="A1008" s="253" t="s">
        <v>3470</v>
      </c>
      <c r="B1008" s="252" t="s">
        <v>3466</v>
      </c>
    </row>
    <row r="1009" spans="1:2">
      <c r="A1009" s="253" t="s">
        <v>3471</v>
      </c>
      <c r="B1009" s="252" t="s">
        <v>3472</v>
      </c>
    </row>
    <row r="1010" spans="1:2">
      <c r="A1010" s="253" t="s">
        <v>3473</v>
      </c>
      <c r="B1010" s="252" t="s">
        <v>3474</v>
      </c>
    </row>
    <row r="1011" spans="1:2">
      <c r="A1011" s="253" t="s">
        <v>3475</v>
      </c>
      <c r="B1011" s="252" t="s">
        <v>3476</v>
      </c>
    </row>
    <row r="1012" spans="1:2">
      <c r="A1012" s="253" t="s">
        <v>3477</v>
      </c>
      <c r="B1012" s="252" t="s">
        <v>3478</v>
      </c>
    </row>
    <row r="1013" spans="1:2">
      <c r="A1013" s="253" t="s">
        <v>3479</v>
      </c>
      <c r="B1013" s="252" t="s">
        <v>3480</v>
      </c>
    </row>
    <row r="1014" spans="1:2">
      <c r="A1014" s="253" t="s">
        <v>3481</v>
      </c>
      <c r="B1014" s="252" t="s">
        <v>3482</v>
      </c>
    </row>
    <row r="1015" spans="1:2">
      <c r="A1015" s="253" t="s">
        <v>3483</v>
      </c>
      <c r="B1015" s="252" t="s">
        <v>3484</v>
      </c>
    </row>
    <row r="1016" spans="1:2">
      <c r="A1016" s="253" t="s">
        <v>3485</v>
      </c>
      <c r="B1016" s="252" t="s">
        <v>3486</v>
      </c>
    </row>
    <row r="1017" spans="1:2">
      <c r="A1017" s="248" t="s">
        <v>800</v>
      </c>
      <c r="B1017" s="249" t="s">
        <v>785</v>
      </c>
    </row>
    <row r="1018" spans="1:2">
      <c r="A1018" s="253" t="s">
        <v>1052</v>
      </c>
      <c r="B1018" s="252" t="s">
        <v>340</v>
      </c>
    </row>
    <row r="1019" spans="1:2">
      <c r="A1019" s="253" t="s">
        <v>1053</v>
      </c>
      <c r="B1019" s="252" t="s">
        <v>341</v>
      </c>
    </row>
    <row r="1020" spans="1:2">
      <c r="A1020" s="253" t="s">
        <v>1054</v>
      </c>
      <c r="B1020" s="252" t="s">
        <v>1055</v>
      </c>
    </row>
    <row r="1021" spans="1:2">
      <c r="A1021" s="253" t="s">
        <v>1056</v>
      </c>
      <c r="B1021" s="252" t="s">
        <v>993</v>
      </c>
    </row>
    <row r="1022" spans="1:2">
      <c r="A1022" s="253" t="s">
        <v>1816</v>
      </c>
      <c r="B1022" s="252" t="s">
        <v>1817</v>
      </c>
    </row>
    <row r="1023" spans="1:2">
      <c r="A1023" s="253" t="s">
        <v>1818</v>
      </c>
      <c r="B1023" s="252" t="s">
        <v>1316</v>
      </c>
    </row>
    <row r="1024" spans="1:2">
      <c r="A1024" s="253" t="s">
        <v>3487</v>
      </c>
      <c r="B1024" s="252" t="s">
        <v>3372</v>
      </c>
    </row>
    <row r="1025" spans="1:2">
      <c r="A1025" s="247" t="s">
        <v>1108</v>
      </c>
      <c r="B1025" s="251" t="s">
        <v>1109</v>
      </c>
    </row>
    <row r="1026" spans="1:2">
      <c r="A1026" s="248" t="s">
        <v>1136</v>
      </c>
      <c r="B1026" s="249" t="s">
        <v>1137</v>
      </c>
    </row>
    <row r="1027" spans="1:2">
      <c r="A1027" s="253" t="s">
        <v>1328</v>
      </c>
      <c r="B1027" s="252" t="s">
        <v>1329</v>
      </c>
    </row>
    <row r="1028" spans="1:2">
      <c r="A1028" s="248" t="s">
        <v>1138</v>
      </c>
      <c r="B1028" s="249" t="s">
        <v>1139</v>
      </c>
    </row>
    <row r="1029" spans="1:2">
      <c r="A1029" s="253" t="s">
        <v>1330</v>
      </c>
      <c r="B1029" s="252" t="s">
        <v>1331</v>
      </c>
    </row>
    <row r="1030" spans="1:2">
      <c r="A1030" s="253" t="s">
        <v>1332</v>
      </c>
      <c r="B1030" s="252" t="s">
        <v>1333</v>
      </c>
    </row>
    <row r="1031" spans="1:2">
      <c r="A1031" s="247" t="s">
        <v>1145</v>
      </c>
      <c r="B1031" s="251" t="s">
        <v>1146</v>
      </c>
    </row>
    <row r="1032" spans="1:2">
      <c r="A1032" s="248" t="s">
        <v>1153</v>
      </c>
      <c r="B1032" s="249" t="s">
        <v>1154</v>
      </c>
    </row>
    <row r="1033" spans="1:2">
      <c r="A1033" s="253" t="s">
        <v>1334</v>
      </c>
      <c r="B1033" s="252" t="s">
        <v>1335</v>
      </c>
    </row>
    <row r="1034" spans="1:2">
      <c r="A1034" s="253" t="s">
        <v>1336</v>
      </c>
      <c r="B1034" s="252" t="s">
        <v>1337</v>
      </c>
    </row>
    <row r="1035" spans="1:2">
      <c r="A1035" s="247" t="s">
        <v>1246</v>
      </c>
      <c r="B1035" s="251" t="s">
        <v>1247</v>
      </c>
    </row>
    <row r="1036" spans="1:2">
      <c r="A1036" s="248" t="s">
        <v>1272</v>
      </c>
      <c r="B1036" s="249" t="s">
        <v>787</v>
      </c>
    </row>
    <row r="1037" spans="1:2">
      <c r="A1037" s="253" t="s">
        <v>1338</v>
      </c>
      <c r="B1037" s="252" t="s">
        <v>1339</v>
      </c>
    </row>
    <row r="1038" spans="1:2">
      <c r="A1038" s="253" t="s">
        <v>1340</v>
      </c>
      <c r="B1038" s="252" t="s">
        <v>1341</v>
      </c>
    </row>
    <row r="1039" spans="1:2">
      <c r="A1039" s="253" t="s">
        <v>1342</v>
      </c>
      <c r="B1039" s="252" t="s">
        <v>1343</v>
      </c>
    </row>
    <row r="1040" spans="1:2">
      <c r="A1040" s="253" t="s">
        <v>1344</v>
      </c>
      <c r="B1040" s="252" t="s">
        <v>1345</v>
      </c>
    </row>
    <row r="1041" spans="1:2">
      <c r="A1041" s="253" t="s">
        <v>1346</v>
      </c>
      <c r="B1041" s="252" t="s">
        <v>1347</v>
      </c>
    </row>
    <row r="1042" spans="1:2">
      <c r="A1042" s="253" t="s">
        <v>1348</v>
      </c>
      <c r="B1042" s="252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3" bestFit="1" customWidth="1"/>
    <col min="4" max="5" width="23.7109375" style="234" customWidth="1"/>
    <col min="6" max="6" width="11.7109375" style="230" customWidth="1"/>
  </cols>
  <sheetData>
    <row r="1" spans="1:6" ht="20.25" thickBot="1">
      <c r="A1" s="227" t="s">
        <v>735</v>
      </c>
      <c r="B1" s="227" t="s">
        <v>200</v>
      </c>
      <c r="C1" s="228" t="s">
        <v>1952</v>
      </c>
      <c r="D1" s="227"/>
      <c r="E1" s="227"/>
      <c r="F1" s="229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7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7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7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7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7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7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7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7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7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7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7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7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7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7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7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7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7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7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7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0"/>
      <c r="B102" s="230"/>
      <c r="C102" s="231"/>
      <c r="D102" s="232"/>
      <c r="E102" s="232"/>
    </row>
    <row r="106" spans="1:6">
      <c r="A106" s="235"/>
      <c r="B106" s="235"/>
      <c r="C106" s="235"/>
      <c r="D106" s="235"/>
      <c r="E106" s="235"/>
      <c r="F106" s="235"/>
    </row>
    <row r="107" spans="1:6">
      <c r="A107" s="235"/>
      <c r="B107" s="235"/>
      <c r="C107" s="235"/>
      <c r="D107" s="235"/>
      <c r="E107" s="235"/>
      <c r="F107" s="235"/>
    </row>
    <row r="108" spans="1:6">
      <c r="A108" s="235"/>
      <c r="B108" s="235"/>
      <c r="C108" s="235"/>
      <c r="D108" s="235"/>
      <c r="E108" s="235"/>
      <c r="F108" s="235"/>
    </row>
    <row r="109" spans="1:6">
      <c r="A109" s="235"/>
      <c r="B109" s="235"/>
      <c r="C109" s="235"/>
      <c r="D109" s="235"/>
      <c r="E109" s="235"/>
      <c r="F109" s="235"/>
    </row>
    <row r="110" spans="1:6">
      <c r="A110" s="235"/>
      <c r="B110" s="235"/>
      <c r="C110" s="235"/>
      <c r="D110" s="235"/>
      <c r="E110" s="235"/>
      <c r="F110" s="235"/>
    </row>
    <row r="111" spans="1:6">
      <c r="A111" s="235"/>
      <c r="B111" s="235"/>
      <c r="C111" s="235"/>
      <c r="D111" s="235"/>
      <c r="E111" s="235"/>
      <c r="F111" s="235"/>
    </row>
    <row r="112" spans="1:6">
      <c r="A112" s="235"/>
      <c r="B112" s="235"/>
      <c r="C112" s="235"/>
      <c r="D112" s="235"/>
      <c r="E112" s="235"/>
      <c r="F112" s="235"/>
    </row>
    <row r="113" spans="1:6">
      <c r="A113" s="235"/>
      <c r="B113" s="235"/>
      <c r="C113" s="235"/>
      <c r="D113" s="235"/>
      <c r="E113" s="235"/>
      <c r="F113" s="235"/>
    </row>
    <row r="114" spans="1:6">
      <c r="A114" s="235"/>
      <c r="B114" s="235"/>
      <c r="C114" s="235"/>
      <c r="D114" s="235"/>
      <c r="E114" s="235"/>
      <c r="F114" s="235"/>
    </row>
    <row r="115" spans="1:6">
      <c r="A115" s="235"/>
      <c r="B115" s="235"/>
      <c r="C115" s="235"/>
      <c r="D115" s="235"/>
      <c r="E115" s="235"/>
      <c r="F115" s="235"/>
    </row>
    <row r="116" spans="1:6">
      <c r="A116" s="235"/>
      <c r="B116" s="235"/>
      <c r="C116" s="235"/>
      <c r="D116" s="235"/>
      <c r="E116" s="235"/>
      <c r="F116" s="235"/>
    </row>
    <row r="117" spans="1:6">
      <c r="A117" s="235"/>
      <c r="B117" s="235"/>
      <c r="C117" s="235"/>
      <c r="D117" s="235"/>
      <c r="E117" s="235"/>
      <c r="F117" s="235"/>
    </row>
    <row r="118" spans="1:6">
      <c r="A118" s="235"/>
      <c r="B118" s="235"/>
      <c r="C118" s="235"/>
      <c r="D118" s="235"/>
      <c r="E118" s="235"/>
      <c r="F118" s="2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korisnik</cp:lastModifiedBy>
  <cp:lastPrinted>2021-09-16T09:39:11Z</cp:lastPrinted>
  <dcterms:created xsi:type="dcterms:W3CDTF">2018-09-10T07:36:17Z</dcterms:created>
  <dcterms:modified xsi:type="dcterms:W3CDTF">2021-12-16T10:50:33Z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